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omments4.xml" ContentType="application/vnd.openxmlformats-officedocument.spreadsheetml.comment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60.xml" ContentType="application/vnd.openxmlformats-officedocument.drawing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EW" sheetId="72" state="hidden" r:id="rId23"/>
    <sheet name="NKE" sheetId="50" state="hidden" r:id="rId24"/>
    <sheet name="MOS" sheetId="58" state="hidden" r:id="rId25"/>
    <sheet name="MJN" sheetId="76" state="hidden" r:id="rId26"/>
    <sheet name="VGK" sheetId="59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3">ALL!$X$1:$AD$70</definedName>
    <definedName name="hp?s_AOBC_Historical_Prices" localSheetId="11">AOBC!$W$1:$AC$68</definedName>
    <definedName name="hp?s_AVGO" localSheetId="45">AVGO!$W$1:$AC$69</definedName>
    <definedName name="hp?s_AXP_Historical_Prices" localSheetId="7">AXP!$W$1:$AC$69</definedName>
    <definedName name="hp?s_BIIB" localSheetId="3">BIIB!$W$1:$AC$68</definedName>
    <definedName name="hp?s_CAH" localSheetId="47">CAH!$W$1:$AC$69</definedName>
    <definedName name="hp?s_cce" localSheetId="13">CCE!$W$1:$AC$69</definedName>
    <definedName name="hp?s_CF_a_00_b_1_c_2016_d_06_e_1_f_2016_g_d" localSheetId="39">CF!$W$1:$AC$69</definedName>
    <definedName name="hp?s_CNI" localSheetId="35">CNI!$W$1:$AC$69</definedName>
    <definedName name="hp?s_CPN_Historical_Prices" localSheetId="21">CPN!$W$1:$AC$68</definedName>
    <definedName name="hp?s_cvs" localSheetId="16">CVS!$W$1:$AC$69</definedName>
    <definedName name="hp?s_DAL" localSheetId="48">DAL!$W$1:$AC$69</definedName>
    <definedName name="hp?s_dg" localSheetId="8">DG!$W$1:$AC$69</definedName>
    <definedName name="hp?s_DIS" localSheetId="13">CCE!#REF!</definedName>
    <definedName name="hp?s_DIS" localSheetId="50">DIS!$W$1:$AC$69</definedName>
    <definedName name="hp?s_DIS" localSheetId="51">FTR!#REF!</definedName>
    <definedName name="hp?s_ew_Historical_Prices" localSheetId="22">EW!$W$1:$AC$68</definedName>
    <definedName name="hp?s_F" localSheetId="19">F!$W$1:$AC$69</definedName>
    <definedName name="hp?s_foxa" localSheetId="10">FOXA!$W$1:$AC$68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0">JNJ!$W$1:$AC$69</definedName>
    <definedName name="hp?s_KATE" localSheetId="38">KATE!$W$1:$AC$68</definedName>
    <definedName name="hp?s_KORS" localSheetId="42">KORS!$W$1:$AC$68</definedName>
    <definedName name="hp?s_KR" localSheetId="18">KR!$W$1:$AC$69</definedName>
    <definedName name="hp?s_LUV" localSheetId="12">LUV!$W$1:$AC$69</definedName>
    <definedName name="hp?s_MOS_Historical_Prices" localSheetId="24">MOS!$W$1:$AC$70</definedName>
    <definedName name="hp?s_MRO" localSheetId="17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3">NKE!$W$1:$AC$70</definedName>
    <definedName name="hp?s_NSC" localSheetId="44">NSC!$W$1:$AC$69</definedName>
    <definedName name="hp?s_NWL" localSheetId="41">NWL!$W$1:$AC$70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SWKS!$W$1:$AC$69</definedName>
    <definedName name="hp?s_teva" localSheetId="49">TEVA!$W$1:$AC$70</definedName>
    <definedName name="hp?s_tgt" localSheetId="40">TGT!$W$1:$AC$69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UNH!$W$1:$AC$69</definedName>
    <definedName name="hp?s_UNP" localSheetId="31">UNP!$W$1:$AC$70</definedName>
    <definedName name="hp?s_UTX" localSheetId="58">UTX!$W$1:$AC$69</definedName>
    <definedName name="hp?s_vgk" localSheetId="25">MJN!$W$1:$AC$69</definedName>
    <definedName name="hp?s_vgk" localSheetId="26">VGK!$W$1:$AC$69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5">#REF!</definedName>
    <definedName name="PL" localSheetId="24">#REF!</definedName>
    <definedName name="PL" localSheetId="4">#REF!</definedName>
    <definedName name="PL" localSheetId="32">NCLH!$Q$7</definedName>
    <definedName name="PL" localSheetId="23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CF!$T$56:$U$71</definedName>
    <definedName name="q?s_CNI" localSheetId="35">CNI!$T$43:$U$58</definedName>
    <definedName name="q?s_CPN" localSheetId="21">CPN!$T$43:$U$58</definedName>
    <definedName name="q?s_cvs" localSheetId="16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0">JNJ!$T$43:$U$58</definedName>
    <definedName name="q?s_KATE" localSheetId="38">KATE!$T$43:$U$58</definedName>
    <definedName name="q?s_KORS" localSheetId="42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3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5">MJN!$T$43:$U$56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76" i="38" l="1"/>
  <c r="E376" i="38"/>
  <c r="G376" i="38"/>
  <c r="H376" i="38"/>
  <c r="K376" i="38"/>
  <c r="L376" i="38"/>
  <c r="O376" i="38" s="1"/>
  <c r="P376" i="38" s="1"/>
  <c r="M376" i="38"/>
  <c r="T376" i="38" s="1"/>
  <c r="R376" i="38"/>
  <c r="U376" i="38"/>
  <c r="N54" i="35"/>
  <c r="N56" i="35"/>
  <c r="N51" i="35"/>
  <c r="N52" i="35"/>
  <c r="N33" i="35"/>
  <c r="N13" i="35"/>
  <c r="N58" i="35"/>
  <c r="N6" i="35"/>
  <c r="N10" i="35"/>
  <c r="N29" i="35"/>
  <c r="N50" i="35"/>
  <c r="N28" i="35"/>
  <c r="N25" i="35"/>
  <c r="N53" i="35"/>
  <c r="N21" i="35"/>
  <c r="N45" i="35"/>
  <c r="N20" i="35"/>
  <c r="N39" i="35"/>
  <c r="N46" i="35"/>
  <c r="N11" i="35"/>
  <c r="N9" i="35"/>
  <c r="N38" i="35"/>
  <c r="N17" i="35"/>
  <c r="N16" i="35"/>
  <c r="N27" i="35"/>
  <c r="N49" i="35"/>
  <c r="N48" i="35"/>
  <c r="N43" i="35"/>
  <c r="N55" i="35"/>
  <c r="N34" i="35"/>
  <c r="N35" i="35"/>
  <c r="N36" i="35"/>
  <c r="N5" i="35"/>
  <c r="N57" i="35"/>
  <c r="N41" i="35"/>
  <c r="N15" i="35"/>
  <c r="N44" i="35"/>
  <c r="N30" i="35"/>
  <c r="N3" i="35"/>
  <c r="N37" i="35"/>
  <c r="N31" i="35"/>
  <c r="N4" i="35"/>
  <c r="N2" i="35"/>
  <c r="N12" i="35"/>
  <c r="N19" i="35"/>
  <c r="N24" i="35"/>
  <c r="N26" i="35"/>
  <c r="N40" i="35"/>
  <c r="N8" i="35"/>
  <c r="N32" i="35"/>
  <c r="N47" i="35"/>
  <c r="N14" i="35"/>
  <c r="N22" i="35"/>
  <c r="N18" i="35"/>
  <c r="N7" i="35"/>
  <c r="N42" i="35"/>
  <c r="N23" i="35"/>
  <c r="F47" i="17"/>
  <c r="G47" i="17"/>
  <c r="H47" i="17"/>
  <c r="K5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V376" i="38" l="1"/>
  <c r="N376" i="38"/>
  <c r="W376" i="38" s="1"/>
  <c r="K55" i="76"/>
  <c r="F55" i="76"/>
  <c r="D375" i="38"/>
  <c r="E375" i="38"/>
  <c r="G375" i="38"/>
  <c r="H375" i="38"/>
  <c r="K375" i="38"/>
  <c r="L375" i="38" s="1"/>
  <c r="M375" i="38"/>
  <c r="T375" i="38" s="1"/>
  <c r="R375" i="38"/>
  <c r="F46" i="17"/>
  <c r="G46" i="17"/>
  <c r="H46" i="17"/>
  <c r="F10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43" i="25"/>
  <c r="G43" i="25"/>
  <c r="H4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H35" i="45"/>
  <c r="K2" i="45"/>
  <c r="F37" i="57"/>
  <c r="G37" i="57"/>
  <c r="H37" i="57"/>
  <c r="K3" i="57"/>
  <c r="O375" i="38" l="1"/>
  <c r="N375" i="38"/>
  <c r="F42" i="25"/>
  <c r="H42" i="25"/>
  <c r="G42" i="25"/>
  <c r="F23" i="25"/>
  <c r="F22" i="25"/>
  <c r="G370" i="38"/>
  <c r="G371" i="38"/>
  <c r="G372" i="38"/>
  <c r="G373" i="38"/>
  <c r="G374" i="38"/>
  <c r="D370" i="38"/>
  <c r="D371" i="38"/>
  <c r="D372" i="38"/>
  <c r="D373" i="38"/>
  <c r="D374" i="38"/>
  <c r="E374" i="38"/>
  <c r="H374" i="38"/>
  <c r="K374" i="38"/>
  <c r="L374" i="38" s="1"/>
  <c r="M374" i="38"/>
  <c r="T374" i="38" s="1"/>
  <c r="N374" i="38"/>
  <c r="R374" i="38"/>
  <c r="O374" i="38" l="1"/>
  <c r="E373" i="38"/>
  <c r="H373" i="38"/>
  <c r="K373" i="38"/>
  <c r="L373" i="38" s="1"/>
  <c r="M373" i="38"/>
  <c r="N373" i="38" s="1"/>
  <c r="R373" i="38"/>
  <c r="O373" i="38" l="1"/>
  <c r="T373" i="38"/>
  <c r="F58" i="40"/>
  <c r="G58" i="40"/>
  <c r="H58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41" i="25"/>
  <c r="G41" i="25"/>
  <c r="H41" i="25"/>
  <c r="E372" i="38"/>
  <c r="H372" i="38"/>
  <c r="K372" i="38"/>
  <c r="L372" i="38" s="1"/>
  <c r="M372" i="38"/>
  <c r="T372" i="38" s="1"/>
  <c r="N372" i="38"/>
  <c r="R372" i="38"/>
  <c r="O372" i="38" l="1"/>
  <c r="F40" i="25"/>
  <c r="G40" i="25"/>
  <c r="H40" i="25"/>
  <c r="E371" i="38"/>
  <c r="H371" i="38"/>
  <c r="K371" i="38"/>
  <c r="L371" i="38" s="1"/>
  <c r="O371" i="38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K4" i="17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F45" i="69"/>
  <c r="G45" i="69"/>
  <c r="H45" i="69"/>
  <c r="K4" i="69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39" i="25"/>
  <c r="G39" i="25"/>
  <c r="H39" i="25"/>
  <c r="F21" i="25"/>
  <c r="F9" i="17"/>
  <c r="F44" i="17"/>
  <c r="G44" i="17"/>
  <c r="H44" i="17"/>
  <c r="K3" i="17"/>
  <c r="F44" i="51"/>
  <c r="G44" i="51"/>
  <c r="H44" i="51"/>
  <c r="F11" i="51"/>
  <c r="F10" i="51"/>
  <c r="F9" i="51"/>
  <c r="M93" i="68"/>
  <c r="H93" i="68"/>
  <c r="K93" i="68"/>
  <c r="C93" i="68"/>
  <c r="F93" i="68"/>
  <c r="N370" i="38" l="1"/>
  <c r="L370" i="38"/>
  <c r="O370" i="38"/>
  <c r="F92" i="68"/>
  <c r="K92" i="68"/>
  <c r="M74" i="68" s="1"/>
  <c r="Q10" i="68" s="1"/>
  <c r="F34" i="45"/>
  <c r="G34" i="45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9" i="61"/>
  <c r="G39" i="61"/>
  <c r="H39" i="61"/>
  <c r="F35" i="57"/>
  <c r="G35" i="57"/>
  <c r="H35" i="57"/>
  <c r="F38" i="25"/>
  <c r="G38" i="25"/>
  <c r="H38" i="25"/>
  <c r="K2" i="25"/>
  <c r="F43" i="17"/>
  <c r="H43" i="17"/>
  <c r="G43" i="17"/>
  <c r="K2" i="17"/>
  <c r="AI2" i="61"/>
  <c r="N369" i="38" l="1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57" i="40"/>
  <c r="H57" i="40"/>
  <c r="G57" i="40"/>
  <c r="F13" i="40"/>
  <c r="O367" i="38" l="1"/>
  <c r="N367" i="38"/>
  <c r="AF4" i="61"/>
  <c r="AF3" i="61"/>
  <c r="AF5" i="61"/>
  <c r="AF6" i="61"/>
  <c r="AF7" i="61"/>
  <c r="AF8" i="61"/>
  <c r="AF9" i="61"/>
  <c r="AF10" i="61"/>
  <c r="AF11" i="61"/>
  <c r="AF12" i="61"/>
  <c r="AF13" i="61"/>
  <c r="AF14" i="61"/>
  <c r="AF15" i="61"/>
  <c r="AF16" i="61"/>
  <c r="AF17" i="61"/>
  <c r="AF18" i="61"/>
  <c r="AF19" i="61"/>
  <c r="AF20" i="61"/>
  <c r="AF21" i="61"/>
  <c r="AF22" i="61"/>
  <c r="AF23" i="61"/>
  <c r="AF24" i="61"/>
  <c r="AF25" i="61"/>
  <c r="AF26" i="61"/>
  <c r="AF27" i="61"/>
  <c r="AF28" i="61"/>
  <c r="AF29" i="61"/>
  <c r="AF30" i="61"/>
  <c r="AF31" i="61"/>
  <c r="AF32" i="61"/>
  <c r="AF33" i="61"/>
  <c r="AF34" i="61"/>
  <c r="AF35" i="61"/>
  <c r="AF36" i="61"/>
  <c r="AF37" i="61"/>
  <c r="AF38" i="61"/>
  <c r="AF39" i="61"/>
  <c r="AF40" i="61"/>
  <c r="AF41" i="61"/>
  <c r="AF42" i="61"/>
  <c r="AF43" i="61"/>
  <c r="AF44" i="61"/>
  <c r="AF45" i="61"/>
  <c r="AF46" i="61"/>
  <c r="AF47" i="61"/>
  <c r="AF48" i="61"/>
  <c r="AF49" i="61"/>
  <c r="AF50" i="61"/>
  <c r="AF51" i="61"/>
  <c r="AF52" i="61"/>
  <c r="AF53" i="61"/>
  <c r="AF54" i="61"/>
  <c r="AF55" i="61"/>
  <c r="AF56" i="61"/>
  <c r="AF57" i="61"/>
  <c r="AF58" i="61"/>
  <c r="AF59" i="61"/>
  <c r="AF60" i="61"/>
  <c r="AF61" i="61"/>
  <c r="AF62" i="61"/>
  <c r="AF63" i="61"/>
  <c r="AF64" i="61"/>
  <c r="AF65" i="61"/>
  <c r="AF66" i="61"/>
  <c r="AF67" i="61"/>
  <c r="AF68" i="61"/>
  <c r="AF69" i="61"/>
  <c r="AF2" i="61"/>
  <c r="U3" i="25"/>
  <c r="U2" i="25"/>
  <c r="F125" i="31" l="1"/>
  <c r="G125" i="31"/>
  <c r="H125" i="31"/>
  <c r="F41" i="17"/>
  <c r="G41" i="17"/>
  <c r="H41" i="17"/>
  <c r="F248" i="7"/>
  <c r="G248" i="7"/>
  <c r="H248" i="7"/>
  <c r="F38" i="61"/>
  <c r="G38" i="61"/>
  <c r="H38" i="61"/>
  <c r="F44" i="69"/>
  <c r="G44" i="69"/>
  <c r="H44" i="69"/>
  <c r="F27" i="75"/>
  <c r="G27" i="75"/>
  <c r="E366" i="38"/>
  <c r="H366" i="38"/>
  <c r="K366" i="38"/>
  <c r="L366" i="38" s="1"/>
  <c r="O366" i="38" s="1"/>
  <c r="M366" i="38"/>
  <c r="T366" i="38" s="1"/>
  <c r="R366" i="38"/>
  <c r="F56" i="40"/>
  <c r="H56" i="40"/>
  <c r="G56" i="40"/>
  <c r="H18" i="40"/>
  <c r="K9" i="40"/>
  <c r="N366" i="38" l="1"/>
  <c r="E365" i="38"/>
  <c r="H365" i="38"/>
  <c r="K365" i="38"/>
  <c r="L365" i="38" s="1"/>
  <c r="M365" i="38"/>
  <c r="T365" i="38" s="1"/>
  <c r="R365" i="38"/>
  <c r="F37" i="61"/>
  <c r="G37" i="61"/>
  <c r="H37" i="61"/>
  <c r="F5" i="61"/>
  <c r="O365" i="38" l="1"/>
  <c r="N365" i="38"/>
  <c r="F55" i="40"/>
  <c r="G55" i="40"/>
  <c r="H55" i="40"/>
  <c r="F33" i="57"/>
  <c r="G33" i="57"/>
  <c r="H33" i="57"/>
  <c r="H124" i="31"/>
  <c r="G124" i="31"/>
  <c r="F124" i="31"/>
  <c r="F40" i="17"/>
  <c r="G40" i="17"/>
  <c r="H40" i="17"/>
  <c r="K481" i="17"/>
  <c r="F481" i="17"/>
  <c r="K480" i="17"/>
  <c r="F480" i="17"/>
  <c r="D364" i="38" l="1"/>
  <c r="E364" i="38"/>
  <c r="H364" i="38"/>
  <c r="K364" i="38"/>
  <c r="L364" i="38" s="1"/>
  <c r="O364" i="38"/>
  <c r="M364" i="38"/>
  <c r="T364" i="38" s="1"/>
  <c r="N364" i="38"/>
  <c r="R364" i="38"/>
  <c r="F37" i="25"/>
  <c r="G37" i="25"/>
  <c r="H37" i="25"/>
  <c r="F20" i="25"/>
  <c r="F36" i="61"/>
  <c r="G36" i="61"/>
  <c r="H36" i="61"/>
  <c r="F4" i="61"/>
  <c r="F43" i="69"/>
  <c r="H43" i="69"/>
  <c r="G43" i="69"/>
  <c r="K3" i="69"/>
  <c r="F42" i="51"/>
  <c r="G42" i="51"/>
  <c r="H42" i="51"/>
  <c r="F7" i="51"/>
  <c r="F42" i="69" l="1"/>
  <c r="H42" i="69"/>
  <c r="G42" i="69"/>
  <c r="K80" i="53"/>
  <c r="F80" i="53"/>
  <c r="H36" i="25"/>
  <c r="G36" i="25"/>
  <c r="F36" i="25"/>
  <c r="M579" i="25"/>
  <c r="H579" i="25"/>
  <c r="C579" i="25"/>
  <c r="F555" i="25"/>
  <c r="F554" i="25"/>
  <c r="F553" i="25"/>
  <c r="F552" i="25"/>
  <c r="F551" i="25"/>
  <c r="F550" i="25"/>
  <c r="F549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F461" i="25"/>
  <c r="F460" i="25"/>
  <c r="F459" i="25"/>
  <c r="K458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F438" i="25"/>
  <c r="F437" i="25"/>
  <c r="F436" i="25"/>
  <c r="F435" i="25"/>
  <c r="F434" i="25"/>
  <c r="F433" i="25"/>
  <c r="F432" i="25"/>
  <c r="F431" i="25"/>
  <c r="F430" i="25"/>
  <c r="F429" i="25"/>
  <c r="F428" i="25"/>
  <c r="F427" i="25"/>
  <c r="F426" i="25"/>
  <c r="F425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332" i="25"/>
  <c r="F332" i="25"/>
  <c r="K331" i="25"/>
  <c r="F331" i="25"/>
  <c r="K330" i="25"/>
  <c r="F330" i="25"/>
  <c r="K329" i="25"/>
  <c r="F329" i="25"/>
  <c r="K328" i="25"/>
  <c r="F328" i="25"/>
  <c r="K327" i="25"/>
  <c r="F327" i="25"/>
  <c r="K326" i="25"/>
  <c r="F326" i="25"/>
  <c r="K325" i="25"/>
  <c r="F325" i="25"/>
  <c r="K324" i="25"/>
  <c r="F324" i="25"/>
  <c r="K323" i="25"/>
  <c r="F323" i="25"/>
  <c r="K322" i="25"/>
  <c r="F322" i="25"/>
  <c r="K321" i="25"/>
  <c r="F321" i="25"/>
  <c r="K320" i="25"/>
  <c r="F320" i="25"/>
  <c r="K319" i="25"/>
  <c r="F319" i="25"/>
  <c r="K318" i="25"/>
  <c r="F318" i="25"/>
  <c r="K123" i="45"/>
  <c r="F123" i="45"/>
  <c r="K122" i="45"/>
  <c r="F122" i="45"/>
  <c r="K121" i="45"/>
  <c r="F121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C580" i="25"/>
  <c r="H580" i="25"/>
  <c r="K580" i="25"/>
  <c r="M580" i="25"/>
  <c r="F580" i="25"/>
  <c r="N363" i="38" l="1"/>
  <c r="F579" i="25"/>
  <c r="K579" i="25"/>
  <c r="O363" i="38"/>
  <c r="F40" i="70"/>
  <c r="H40" i="70"/>
  <c r="G40" i="70"/>
  <c r="M316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49" i="43"/>
  <c r="H49" i="43"/>
  <c r="C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42" i="43"/>
  <c r="K49" i="43" s="1"/>
  <c r="F42" i="43"/>
  <c r="F49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00" i="40"/>
  <c r="G100" i="40"/>
  <c r="F100" i="40"/>
  <c r="H99" i="40"/>
  <c r="G99" i="40"/>
  <c r="F99" i="40"/>
  <c r="H98" i="40"/>
  <c r="G98" i="40"/>
  <c r="F98" i="40"/>
  <c r="H97" i="40"/>
  <c r="G97" i="40"/>
  <c r="F97" i="40"/>
  <c r="H96" i="40"/>
  <c r="G96" i="40"/>
  <c r="F96" i="40"/>
  <c r="H95" i="40"/>
  <c r="G95" i="40"/>
  <c r="F95" i="40"/>
  <c r="H94" i="40"/>
  <c r="G94" i="40"/>
  <c r="F94" i="40"/>
  <c r="H93" i="40"/>
  <c r="G93" i="40"/>
  <c r="F93" i="40"/>
  <c r="H92" i="40"/>
  <c r="G92" i="40"/>
  <c r="F92" i="40"/>
  <c r="H91" i="40"/>
  <c r="G91" i="40"/>
  <c r="F91" i="40"/>
  <c r="H90" i="40"/>
  <c r="G90" i="40"/>
  <c r="F90" i="40"/>
  <c r="M86" i="40"/>
  <c r="H86" i="40"/>
  <c r="C86" i="40"/>
  <c r="K72" i="40"/>
  <c r="F72" i="40"/>
  <c r="K71" i="40"/>
  <c r="F71" i="40"/>
  <c r="K70" i="40"/>
  <c r="F70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4" i="40"/>
  <c r="G54" i="40"/>
  <c r="F54" i="40"/>
  <c r="AE53" i="40"/>
  <c r="AD53" i="40"/>
  <c r="P53" i="40"/>
  <c r="H53" i="40"/>
  <c r="G53" i="40"/>
  <c r="F53" i="40"/>
  <c r="AE52" i="40"/>
  <c r="AD52" i="40"/>
  <c r="P52" i="40"/>
  <c r="H52" i="40"/>
  <c r="G52" i="40"/>
  <c r="F52" i="40"/>
  <c r="AE51" i="40"/>
  <c r="AD51" i="40"/>
  <c r="P51" i="40"/>
  <c r="H51" i="40"/>
  <c r="G51" i="40"/>
  <c r="F51" i="40"/>
  <c r="AE50" i="40"/>
  <c r="AD50" i="40"/>
  <c r="P50" i="40"/>
  <c r="H50" i="40"/>
  <c r="G50" i="40"/>
  <c r="F50" i="40"/>
  <c r="AE49" i="40"/>
  <c r="AD49" i="40"/>
  <c r="P49" i="40"/>
  <c r="H49" i="40"/>
  <c r="G49" i="40"/>
  <c r="F49" i="40"/>
  <c r="AE48" i="40"/>
  <c r="AD48" i="40"/>
  <c r="P48" i="40"/>
  <c r="H48" i="40"/>
  <c r="G48" i="40"/>
  <c r="F48" i="40"/>
  <c r="AE47" i="40"/>
  <c r="AD47" i="40"/>
  <c r="P47" i="40"/>
  <c r="H47" i="40"/>
  <c r="G47" i="40"/>
  <c r="F47" i="40"/>
  <c r="AE46" i="40"/>
  <c r="AD46" i="40"/>
  <c r="P46" i="40"/>
  <c r="H46" i="40"/>
  <c r="G46" i="40"/>
  <c r="F46" i="40"/>
  <c r="AE45" i="40"/>
  <c r="AD45" i="40"/>
  <c r="P45" i="40"/>
  <c r="H45" i="40"/>
  <c r="G45" i="40"/>
  <c r="F45" i="40"/>
  <c r="AE44" i="40"/>
  <c r="AD44" i="40"/>
  <c r="P44" i="40"/>
  <c r="H44" i="40"/>
  <c r="G44" i="40"/>
  <c r="F44" i="40"/>
  <c r="AE43" i="40"/>
  <c r="AD43" i="40"/>
  <c r="P43" i="40"/>
  <c r="H43" i="40"/>
  <c r="G43" i="40"/>
  <c r="F43" i="40"/>
  <c r="AE42" i="40"/>
  <c r="AD42" i="40"/>
  <c r="P42" i="40"/>
  <c r="H42" i="40"/>
  <c r="G42" i="40"/>
  <c r="F42" i="40"/>
  <c r="AE41" i="40"/>
  <c r="AD41" i="40"/>
  <c r="P41" i="40"/>
  <c r="H41" i="40"/>
  <c r="G41" i="40"/>
  <c r="F41" i="40"/>
  <c r="AE40" i="40"/>
  <c r="AD40" i="40"/>
  <c r="H40" i="40"/>
  <c r="G40" i="40"/>
  <c r="F40" i="40"/>
  <c r="AE39" i="40"/>
  <c r="AD39" i="40"/>
  <c r="H39" i="40"/>
  <c r="G39" i="40"/>
  <c r="F39" i="40"/>
  <c r="AE38" i="40"/>
  <c r="AD38" i="40"/>
  <c r="H38" i="40"/>
  <c r="G38" i="40"/>
  <c r="F38" i="40"/>
  <c r="AE37" i="40"/>
  <c r="AD37" i="40"/>
  <c r="H37" i="40"/>
  <c r="G37" i="40"/>
  <c r="F37" i="40"/>
  <c r="AE36" i="40"/>
  <c r="AD36" i="40"/>
  <c r="H36" i="40"/>
  <c r="G36" i="40"/>
  <c r="F36" i="40"/>
  <c r="AE35" i="40"/>
  <c r="AD35" i="40"/>
  <c r="H35" i="40"/>
  <c r="G35" i="40"/>
  <c r="F35" i="40"/>
  <c r="AE34" i="40"/>
  <c r="AD34" i="40"/>
  <c r="H34" i="40"/>
  <c r="G34" i="40"/>
  <c r="F34" i="40"/>
  <c r="AE33" i="40"/>
  <c r="AD33" i="40"/>
  <c r="H33" i="40"/>
  <c r="G33" i="40"/>
  <c r="F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18" i="40"/>
  <c r="C18" i="40"/>
  <c r="Q2" i="40" s="1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Q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K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H23" i="74"/>
  <c r="G23" i="74"/>
  <c r="F23" i="74"/>
  <c r="AE22" i="74"/>
  <c r="AD22" i="74"/>
  <c r="H22" i="74"/>
  <c r="G22" i="74"/>
  <c r="F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H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K3" i="74"/>
  <c r="F3" i="74"/>
  <c r="AE2" i="74"/>
  <c r="AD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F52" i="16" s="1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153" i="61"/>
  <c r="H153" i="61"/>
  <c r="C153" i="61"/>
  <c r="K139" i="61"/>
  <c r="F139" i="61"/>
  <c r="K138" i="61"/>
  <c r="F138" i="61"/>
  <c r="K137" i="61"/>
  <c r="F137" i="61"/>
  <c r="M131" i="61"/>
  <c r="H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H81" i="61"/>
  <c r="G81" i="61"/>
  <c r="F81" i="61"/>
  <c r="H80" i="61"/>
  <c r="G80" i="61"/>
  <c r="F80" i="61"/>
  <c r="H79" i="61"/>
  <c r="G79" i="61"/>
  <c r="F79" i="61"/>
  <c r="H78" i="61"/>
  <c r="G78" i="61"/>
  <c r="F78" i="61"/>
  <c r="H77" i="61"/>
  <c r="G77" i="61"/>
  <c r="F77" i="61"/>
  <c r="H76" i="61"/>
  <c r="G76" i="61"/>
  <c r="F76" i="61"/>
  <c r="H75" i="61"/>
  <c r="G75" i="61"/>
  <c r="F75" i="61"/>
  <c r="H74" i="61"/>
  <c r="G74" i="61"/>
  <c r="F74" i="61"/>
  <c r="H73" i="61"/>
  <c r="G73" i="61"/>
  <c r="F73" i="61"/>
  <c r="H72" i="61"/>
  <c r="G72" i="61"/>
  <c r="F72" i="61"/>
  <c r="H71" i="61"/>
  <c r="G71" i="61"/>
  <c r="F71" i="61"/>
  <c r="H70" i="61"/>
  <c r="G70" i="61"/>
  <c r="F70" i="61"/>
  <c r="AE69" i="61"/>
  <c r="AD69" i="61"/>
  <c r="H69" i="61"/>
  <c r="G69" i="61"/>
  <c r="F69" i="61"/>
  <c r="AE68" i="61"/>
  <c r="AD68" i="61"/>
  <c r="H68" i="61"/>
  <c r="G68" i="61"/>
  <c r="F68" i="61"/>
  <c r="AE67" i="61"/>
  <c r="AD67" i="61"/>
  <c r="H67" i="61"/>
  <c r="G67" i="61"/>
  <c r="F67" i="61"/>
  <c r="AE66" i="61"/>
  <c r="AD66" i="61"/>
  <c r="H66" i="61"/>
  <c r="G66" i="61"/>
  <c r="F66" i="61"/>
  <c r="AE65" i="61"/>
  <c r="AD65" i="61"/>
  <c r="H65" i="61"/>
  <c r="G65" i="61"/>
  <c r="F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74" i="61"/>
  <c r="H61" i="61"/>
  <c r="G61" i="61"/>
  <c r="F61" i="61"/>
  <c r="AE60" i="61"/>
  <c r="AD60" i="61"/>
  <c r="P73" i="61"/>
  <c r="H60" i="61"/>
  <c r="G60" i="61"/>
  <c r="F60" i="61"/>
  <c r="AE59" i="61"/>
  <c r="AD59" i="61"/>
  <c r="P72" i="61"/>
  <c r="H59" i="61"/>
  <c r="G59" i="61"/>
  <c r="F59" i="61"/>
  <c r="AE58" i="61"/>
  <c r="AD58" i="61"/>
  <c r="P71" i="61"/>
  <c r="H58" i="61"/>
  <c r="G58" i="61"/>
  <c r="F58" i="61"/>
  <c r="AE57" i="61"/>
  <c r="AD57" i="61"/>
  <c r="P70" i="61"/>
  <c r="H57" i="61"/>
  <c r="G57" i="61"/>
  <c r="F57" i="61"/>
  <c r="AE56" i="61"/>
  <c r="AD56" i="61"/>
  <c r="P69" i="61"/>
  <c r="H56" i="61"/>
  <c r="G56" i="61"/>
  <c r="F56" i="61"/>
  <c r="AE55" i="61"/>
  <c r="AD55" i="61"/>
  <c r="P68" i="61"/>
  <c r="H55" i="61"/>
  <c r="G55" i="61"/>
  <c r="F55" i="61"/>
  <c r="AE54" i="61"/>
  <c r="AD54" i="61"/>
  <c r="P67" i="61"/>
  <c r="H54" i="61"/>
  <c r="G54" i="61"/>
  <c r="F54" i="61"/>
  <c r="AE53" i="61"/>
  <c r="AD53" i="61"/>
  <c r="P66" i="61"/>
  <c r="H53" i="61"/>
  <c r="G53" i="61"/>
  <c r="F53" i="61"/>
  <c r="AE52" i="61"/>
  <c r="AD52" i="61"/>
  <c r="P65" i="61"/>
  <c r="H52" i="61"/>
  <c r="G52" i="61"/>
  <c r="F52" i="61"/>
  <c r="AE51" i="61"/>
  <c r="AD51" i="61"/>
  <c r="P64" i="61"/>
  <c r="H51" i="61"/>
  <c r="G51" i="61"/>
  <c r="F51" i="61"/>
  <c r="AE50" i="61"/>
  <c r="AD50" i="61"/>
  <c r="P63" i="61"/>
  <c r="H50" i="61"/>
  <c r="G50" i="61"/>
  <c r="F50" i="61"/>
  <c r="AE49" i="61"/>
  <c r="AD49" i="61"/>
  <c r="P62" i="61"/>
  <c r="H49" i="61"/>
  <c r="G49" i="61"/>
  <c r="F49" i="61"/>
  <c r="AE48" i="61"/>
  <c r="AD48" i="61"/>
  <c r="P61" i="61"/>
  <c r="H48" i="61"/>
  <c r="G48" i="61"/>
  <c r="F48" i="61"/>
  <c r="AE47" i="61"/>
  <c r="AD47" i="61"/>
  <c r="P60" i="61"/>
  <c r="H47" i="61"/>
  <c r="G47" i="61"/>
  <c r="F47" i="61"/>
  <c r="AE46" i="61"/>
  <c r="AD46" i="61"/>
  <c r="P59" i="61"/>
  <c r="H46" i="61"/>
  <c r="G46" i="61"/>
  <c r="F46" i="61"/>
  <c r="AE45" i="61"/>
  <c r="AD45" i="61"/>
  <c r="P58" i="61"/>
  <c r="H45" i="61"/>
  <c r="G45" i="61"/>
  <c r="F45" i="61"/>
  <c r="AE44" i="61"/>
  <c r="AD44" i="61"/>
  <c r="P57" i="61"/>
  <c r="H44" i="61"/>
  <c r="G44" i="61"/>
  <c r="F44" i="61"/>
  <c r="AE43" i="61"/>
  <c r="AD43" i="61"/>
  <c r="P56" i="61"/>
  <c r="AE42" i="61"/>
  <c r="AD42" i="61"/>
  <c r="P55" i="61"/>
  <c r="AE41" i="61"/>
  <c r="AD41" i="61"/>
  <c r="P54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H24" i="61"/>
  <c r="G24" i="61"/>
  <c r="F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F3" i="61"/>
  <c r="AE2" i="61"/>
  <c r="AD2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31" i="45"/>
  <c r="H131" i="45"/>
  <c r="C131" i="45"/>
  <c r="K119" i="45"/>
  <c r="F119" i="45"/>
  <c r="K118" i="45"/>
  <c r="F118" i="45"/>
  <c r="K117" i="45"/>
  <c r="F117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H100" i="45"/>
  <c r="G100" i="45"/>
  <c r="F100" i="45"/>
  <c r="H99" i="45"/>
  <c r="G99" i="45"/>
  <c r="F99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2" i="45"/>
  <c r="G82" i="45"/>
  <c r="F82" i="45"/>
  <c r="H81" i="45"/>
  <c r="G81" i="45"/>
  <c r="F81" i="45"/>
  <c r="H80" i="45"/>
  <c r="G80" i="45"/>
  <c r="F80" i="45"/>
  <c r="H79" i="45"/>
  <c r="G79" i="45"/>
  <c r="F79" i="45"/>
  <c r="H78" i="45"/>
  <c r="G78" i="45"/>
  <c r="F78" i="45"/>
  <c r="H77" i="45"/>
  <c r="G77" i="45"/>
  <c r="F77" i="45"/>
  <c r="H76" i="45"/>
  <c r="G76" i="45"/>
  <c r="F76" i="45"/>
  <c r="H75" i="45"/>
  <c r="G75" i="45"/>
  <c r="F75" i="45"/>
  <c r="H74" i="45"/>
  <c r="G74" i="45"/>
  <c r="F74" i="45"/>
  <c r="H73" i="45"/>
  <c r="G73" i="45"/>
  <c r="F73" i="45"/>
  <c r="H72" i="45"/>
  <c r="G72" i="45"/>
  <c r="F72" i="45"/>
  <c r="H71" i="45"/>
  <c r="G71" i="45"/>
  <c r="F71" i="45"/>
  <c r="H70" i="45"/>
  <c r="G70" i="45"/>
  <c r="F70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H67" i="45"/>
  <c r="G67" i="45"/>
  <c r="F67" i="45"/>
  <c r="AE66" i="45"/>
  <c r="AD66" i="45"/>
  <c r="H66" i="45"/>
  <c r="G66" i="45"/>
  <c r="F66" i="45"/>
  <c r="AE65" i="45"/>
  <c r="AD65" i="45"/>
  <c r="H65" i="45"/>
  <c r="G65" i="45"/>
  <c r="F65" i="45"/>
  <c r="AE64" i="45"/>
  <c r="AD64" i="45"/>
  <c r="H64" i="45"/>
  <c r="G64" i="45"/>
  <c r="F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3" i="45"/>
  <c r="AE5" i="45"/>
  <c r="AD5" i="45"/>
  <c r="F2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88" i="17"/>
  <c r="H488" i="17"/>
  <c r="C488" i="17"/>
  <c r="F479" i="17"/>
  <c r="K478" i="17"/>
  <c r="F478" i="17"/>
  <c r="K477" i="17"/>
  <c r="F477" i="17"/>
  <c r="K476" i="17"/>
  <c r="F476" i="17"/>
  <c r="K474" i="17"/>
  <c r="K473" i="17"/>
  <c r="K472" i="17"/>
  <c r="K471" i="17"/>
  <c r="K470" i="17"/>
  <c r="F470" i="17"/>
  <c r="K469" i="17"/>
  <c r="F469" i="17"/>
  <c r="K468" i="17"/>
  <c r="F468" i="17"/>
  <c r="K467" i="17"/>
  <c r="F467" i="17"/>
  <c r="K466" i="17"/>
  <c r="F466" i="17"/>
  <c r="K465" i="17"/>
  <c r="F465" i="17"/>
  <c r="K464" i="17"/>
  <c r="F464" i="17"/>
  <c r="K463" i="17"/>
  <c r="F463" i="17"/>
  <c r="K462" i="17"/>
  <c r="F462" i="17"/>
  <c r="K461" i="17"/>
  <c r="F461" i="17"/>
  <c r="K460" i="17"/>
  <c r="F460" i="17"/>
  <c r="K459" i="17"/>
  <c r="F459" i="17"/>
  <c r="K458" i="17"/>
  <c r="F458" i="17"/>
  <c r="K457" i="17"/>
  <c r="F457" i="17"/>
  <c r="K456" i="17"/>
  <c r="F456" i="17"/>
  <c r="K455" i="17"/>
  <c r="F455" i="17"/>
  <c r="K454" i="17"/>
  <c r="F454" i="17"/>
  <c r="K453" i="17"/>
  <c r="F453" i="17"/>
  <c r="K452" i="17"/>
  <c r="F452" i="17"/>
  <c r="K451" i="17"/>
  <c r="F451" i="17"/>
  <c r="K450" i="17"/>
  <c r="F450" i="17"/>
  <c r="K449" i="17"/>
  <c r="F449" i="17"/>
  <c r="K448" i="17"/>
  <c r="F448" i="17"/>
  <c r="K447" i="17"/>
  <c r="F447" i="17"/>
  <c r="K446" i="17"/>
  <c r="F446" i="17"/>
  <c r="K445" i="17"/>
  <c r="F445" i="17"/>
  <c r="K444" i="17"/>
  <c r="F444" i="17"/>
  <c r="K443" i="17"/>
  <c r="F443" i="17"/>
  <c r="K442" i="17"/>
  <c r="F442" i="17"/>
  <c r="F441" i="17"/>
  <c r="F440" i="17"/>
  <c r="K439" i="17"/>
  <c r="F439" i="17"/>
  <c r="K438" i="17"/>
  <c r="F438" i="17"/>
  <c r="K437" i="17"/>
  <c r="F437" i="17"/>
  <c r="K436" i="17"/>
  <c r="F436" i="17"/>
  <c r="K435" i="17"/>
  <c r="F435" i="17"/>
  <c r="K434" i="17"/>
  <c r="F434" i="17"/>
  <c r="K433" i="17"/>
  <c r="F433" i="17"/>
  <c r="K432" i="17"/>
  <c r="F432" i="17"/>
  <c r="F431" i="17"/>
  <c r="K430" i="17"/>
  <c r="F430" i="17"/>
  <c r="K429" i="17"/>
  <c r="F429" i="17"/>
  <c r="K428" i="17"/>
  <c r="F428" i="17"/>
  <c r="K427" i="17"/>
  <c r="F427" i="17"/>
  <c r="K426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K349" i="17"/>
  <c r="F349" i="17"/>
  <c r="K348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K339" i="17"/>
  <c r="F339" i="17"/>
  <c r="K338" i="17"/>
  <c r="F338" i="17"/>
  <c r="K337" i="17"/>
  <c r="F337" i="17"/>
  <c r="K336" i="17"/>
  <c r="F336" i="17"/>
  <c r="K335" i="17"/>
  <c r="F335" i="17"/>
  <c r="K334" i="17"/>
  <c r="F334" i="17"/>
  <c r="K333" i="17"/>
  <c r="F333" i="17"/>
  <c r="K332" i="17"/>
  <c r="F332" i="17"/>
  <c r="K331" i="17"/>
  <c r="F331" i="17"/>
  <c r="K330" i="17"/>
  <c r="F330" i="17"/>
  <c r="K329" i="17"/>
  <c r="F329" i="17"/>
  <c r="K328" i="17"/>
  <c r="F328" i="17"/>
  <c r="K327" i="17"/>
  <c r="F327" i="17"/>
  <c r="K326" i="17"/>
  <c r="F326" i="17"/>
  <c r="K325" i="17"/>
  <c r="F325" i="17"/>
  <c r="K324" i="17"/>
  <c r="F324" i="17"/>
  <c r="H309" i="17"/>
  <c r="G309" i="17"/>
  <c r="F309" i="17"/>
  <c r="H308" i="17"/>
  <c r="G308" i="17"/>
  <c r="F308" i="17"/>
  <c r="H307" i="17"/>
  <c r="G307" i="17"/>
  <c r="F307" i="17"/>
  <c r="H306" i="17"/>
  <c r="G306" i="17"/>
  <c r="F306" i="17"/>
  <c r="H305" i="17"/>
  <c r="G305" i="17"/>
  <c r="F305" i="17"/>
  <c r="H304" i="17"/>
  <c r="G304" i="17"/>
  <c r="F304" i="17"/>
  <c r="H303" i="17"/>
  <c r="G303" i="17"/>
  <c r="F303" i="17"/>
  <c r="H302" i="17"/>
  <c r="G302" i="17"/>
  <c r="F302" i="17"/>
  <c r="H301" i="17"/>
  <c r="G301" i="17"/>
  <c r="F301" i="17"/>
  <c r="H300" i="17"/>
  <c r="G300" i="17"/>
  <c r="F300" i="17"/>
  <c r="H299" i="17"/>
  <c r="G299" i="17"/>
  <c r="F299" i="17"/>
  <c r="H298" i="17"/>
  <c r="G298" i="17"/>
  <c r="F298" i="17"/>
  <c r="H297" i="17"/>
  <c r="G297" i="17"/>
  <c r="F297" i="17"/>
  <c r="H296" i="17"/>
  <c r="G296" i="17"/>
  <c r="F296" i="17"/>
  <c r="H295" i="17"/>
  <c r="G295" i="17"/>
  <c r="F295" i="17"/>
  <c r="H294" i="17"/>
  <c r="G294" i="17"/>
  <c r="F294" i="17"/>
  <c r="H293" i="17"/>
  <c r="G293" i="17"/>
  <c r="F293" i="17"/>
  <c r="H292" i="17"/>
  <c r="G292" i="17"/>
  <c r="F292" i="17"/>
  <c r="H291" i="17"/>
  <c r="G291" i="17"/>
  <c r="F291" i="17"/>
  <c r="H290" i="17"/>
  <c r="G290" i="17"/>
  <c r="F290" i="17"/>
  <c r="H289" i="17"/>
  <c r="G289" i="17"/>
  <c r="F289" i="17"/>
  <c r="H288" i="17"/>
  <c r="G288" i="17"/>
  <c r="F288" i="17"/>
  <c r="H287" i="17"/>
  <c r="G287" i="17"/>
  <c r="F287" i="17"/>
  <c r="H286" i="17"/>
  <c r="G286" i="17"/>
  <c r="F286" i="17"/>
  <c r="H285" i="17"/>
  <c r="G285" i="17"/>
  <c r="F285" i="17"/>
  <c r="H284" i="17"/>
  <c r="G284" i="17"/>
  <c r="F284" i="17"/>
  <c r="H283" i="17"/>
  <c r="G283" i="17"/>
  <c r="F283" i="17"/>
  <c r="H282" i="17"/>
  <c r="G282" i="17"/>
  <c r="F282" i="17"/>
  <c r="H281" i="17"/>
  <c r="G281" i="17"/>
  <c r="F281" i="17"/>
  <c r="H280" i="17"/>
  <c r="G280" i="17"/>
  <c r="F280" i="17"/>
  <c r="H279" i="17"/>
  <c r="G279" i="17"/>
  <c r="F279" i="17"/>
  <c r="H278" i="17"/>
  <c r="G278" i="17"/>
  <c r="F278" i="17"/>
  <c r="H277" i="17"/>
  <c r="G277" i="17"/>
  <c r="F277" i="17"/>
  <c r="H276" i="17"/>
  <c r="G276" i="17"/>
  <c r="F276" i="17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F8" i="17"/>
  <c r="AE9" i="17"/>
  <c r="AD9" i="17"/>
  <c r="F7" i="17"/>
  <c r="AE8" i="17"/>
  <c r="AD8" i="17"/>
  <c r="F6" i="17"/>
  <c r="AE7" i="17"/>
  <c r="AD7" i="17"/>
  <c r="F5" i="17"/>
  <c r="AE6" i="17"/>
  <c r="AD6" i="17"/>
  <c r="F4" i="17"/>
  <c r="AE5" i="17"/>
  <c r="AD5" i="17"/>
  <c r="F3" i="17"/>
  <c r="AE4" i="17"/>
  <c r="AD4" i="17"/>
  <c r="F2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71" i="76"/>
  <c r="K71" i="76"/>
  <c r="H71" i="76"/>
  <c r="F71" i="76"/>
  <c r="C71" i="76"/>
  <c r="AE69" i="76"/>
  <c r="AD69" i="76"/>
  <c r="AE68" i="76"/>
  <c r="AD68" i="76"/>
  <c r="AE67" i="76"/>
  <c r="AD67" i="76"/>
  <c r="AE66" i="76"/>
  <c r="AD66" i="76"/>
  <c r="AE65" i="76"/>
  <c r="AD65" i="76"/>
  <c r="AE64" i="76"/>
  <c r="AD64" i="76"/>
  <c r="AE63" i="76"/>
  <c r="AD63" i="76"/>
  <c r="AE62" i="76"/>
  <c r="AD62" i="76"/>
  <c r="AE61" i="76"/>
  <c r="AD61" i="76"/>
  <c r="P61" i="76"/>
  <c r="AE60" i="76"/>
  <c r="AD60" i="76"/>
  <c r="P60" i="76"/>
  <c r="AE59" i="76"/>
  <c r="AD59" i="76"/>
  <c r="P59" i="76"/>
  <c r="AE58" i="76"/>
  <c r="AD58" i="76"/>
  <c r="P58" i="76"/>
  <c r="AE57" i="76"/>
  <c r="AD57" i="76"/>
  <c r="P57" i="76"/>
  <c r="AE56" i="76"/>
  <c r="AD56" i="76"/>
  <c r="P56" i="76"/>
  <c r="AE55" i="76"/>
  <c r="AD55" i="76"/>
  <c r="P55" i="76"/>
  <c r="AE54" i="76"/>
  <c r="AD54" i="76"/>
  <c r="P54" i="76"/>
  <c r="AE53" i="76"/>
  <c r="AD53" i="76"/>
  <c r="P53" i="76"/>
  <c r="AE52" i="76"/>
  <c r="AD52" i="76"/>
  <c r="P52" i="76"/>
  <c r="AE51" i="76"/>
  <c r="AD51" i="76"/>
  <c r="P51" i="76"/>
  <c r="AE50" i="76"/>
  <c r="AD50" i="76"/>
  <c r="P50" i="76"/>
  <c r="AE49" i="76"/>
  <c r="AD49" i="76"/>
  <c r="P49" i="76"/>
  <c r="AE48" i="76"/>
  <c r="AD48" i="76"/>
  <c r="P48" i="76"/>
  <c r="AE47" i="76"/>
  <c r="AD47" i="76"/>
  <c r="P47" i="76"/>
  <c r="AE46" i="76"/>
  <c r="AD46" i="76"/>
  <c r="P46" i="76"/>
  <c r="AE45" i="76"/>
  <c r="AD45" i="76"/>
  <c r="P45" i="76"/>
  <c r="AE44" i="76"/>
  <c r="AD44" i="76"/>
  <c r="P44" i="76"/>
  <c r="AE43" i="76"/>
  <c r="AD43" i="76"/>
  <c r="P43" i="76"/>
  <c r="AE42" i="76"/>
  <c r="AD42" i="76"/>
  <c r="P42" i="76"/>
  <c r="AE41" i="76"/>
  <c r="AD41" i="76"/>
  <c r="P41" i="76"/>
  <c r="AE40" i="76"/>
  <c r="AD40" i="76"/>
  <c r="AE39" i="76"/>
  <c r="AD39" i="76"/>
  <c r="AE38" i="76"/>
  <c r="AD38" i="76"/>
  <c r="AE37" i="76"/>
  <c r="AD37" i="76"/>
  <c r="AE36" i="76"/>
  <c r="AD36" i="76"/>
  <c r="AE35" i="76"/>
  <c r="AD35" i="76"/>
  <c r="AE34" i="76"/>
  <c r="AD34" i="76"/>
  <c r="AE33" i="76"/>
  <c r="AD33" i="76"/>
  <c r="AE32" i="76"/>
  <c r="AD32" i="76"/>
  <c r="AE31" i="76"/>
  <c r="AD31" i="76"/>
  <c r="AE30" i="76"/>
  <c r="AD30" i="76"/>
  <c r="AE29" i="76"/>
  <c r="AD29" i="76"/>
  <c r="AE28" i="76"/>
  <c r="AD28" i="76"/>
  <c r="AE27" i="76"/>
  <c r="AD27" i="76"/>
  <c r="AE26" i="76"/>
  <c r="AD26" i="76"/>
  <c r="H26" i="76"/>
  <c r="G26" i="76"/>
  <c r="F26" i="76"/>
  <c r="AE25" i="76"/>
  <c r="AD25" i="76"/>
  <c r="H25" i="76"/>
  <c r="G25" i="76"/>
  <c r="F25" i="76"/>
  <c r="AE24" i="76"/>
  <c r="AD24" i="76"/>
  <c r="AE23" i="76"/>
  <c r="AD23" i="76"/>
  <c r="AE22" i="76"/>
  <c r="AD22" i="76"/>
  <c r="AE21" i="76"/>
  <c r="AD21" i="76"/>
  <c r="AE20" i="76"/>
  <c r="AD20" i="76"/>
  <c r="AE19" i="76"/>
  <c r="AD19" i="76"/>
  <c r="AE18" i="76"/>
  <c r="AD18" i="76"/>
  <c r="M18" i="76"/>
  <c r="K18" i="76"/>
  <c r="H18" i="76"/>
  <c r="C18" i="76"/>
  <c r="AE17" i="76"/>
  <c r="AD17" i="76"/>
  <c r="AE16" i="76"/>
  <c r="AD16" i="76"/>
  <c r="AE15" i="76"/>
  <c r="AD15" i="76"/>
  <c r="AE14" i="76"/>
  <c r="AD14" i="76"/>
  <c r="AE13" i="76"/>
  <c r="AD13" i="76"/>
  <c r="AE12" i="76"/>
  <c r="AD12" i="76"/>
  <c r="AE11" i="76"/>
  <c r="AD11" i="76"/>
  <c r="AE10" i="76"/>
  <c r="AD10" i="76"/>
  <c r="AE9" i="76"/>
  <c r="AD9" i="76"/>
  <c r="AE8" i="76"/>
  <c r="AD8" i="76"/>
  <c r="AE7" i="76"/>
  <c r="AD7" i="76"/>
  <c r="AE6" i="76"/>
  <c r="AD6" i="76"/>
  <c r="AE5" i="76"/>
  <c r="AD5" i="76"/>
  <c r="AE4" i="76"/>
  <c r="AD4" i="76"/>
  <c r="AE3" i="76"/>
  <c r="AD3" i="76"/>
  <c r="AE2" i="76"/>
  <c r="AD2" i="76"/>
  <c r="F18" i="76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M18" i="50"/>
  <c r="H18" i="50"/>
  <c r="C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AE69" i="51"/>
  <c r="AD69" i="51"/>
  <c r="H76" i="51"/>
  <c r="G76" i="51"/>
  <c r="F76" i="51"/>
  <c r="AE68" i="51"/>
  <c r="AD68" i="51"/>
  <c r="H75" i="51"/>
  <c r="G75" i="51"/>
  <c r="F75" i="51"/>
  <c r="AE67" i="51"/>
  <c r="AD67" i="51"/>
  <c r="H74" i="51"/>
  <c r="G74" i="51"/>
  <c r="F74" i="51"/>
  <c r="AE66" i="51"/>
  <c r="AD66" i="51"/>
  <c r="H73" i="51"/>
  <c r="G73" i="51"/>
  <c r="F73" i="51"/>
  <c r="AE65" i="51"/>
  <c r="AD65" i="51"/>
  <c r="H72" i="51"/>
  <c r="G72" i="51"/>
  <c r="F72" i="51"/>
  <c r="AE64" i="51"/>
  <c r="AD64" i="51"/>
  <c r="H71" i="51"/>
  <c r="G71" i="51"/>
  <c r="F71" i="51"/>
  <c r="AE63" i="51"/>
  <c r="AD63" i="51"/>
  <c r="H70" i="51"/>
  <c r="G70" i="51"/>
  <c r="F70" i="51"/>
  <c r="AE62" i="51"/>
  <c r="AD62" i="51"/>
  <c r="H69" i="51"/>
  <c r="G69" i="51"/>
  <c r="F69" i="51"/>
  <c r="AE61" i="51"/>
  <c r="AD61" i="51"/>
  <c r="P61" i="51"/>
  <c r="H68" i="51"/>
  <c r="G68" i="51"/>
  <c r="F68" i="51"/>
  <c r="AE60" i="51"/>
  <c r="AD60" i="51"/>
  <c r="P60" i="51"/>
  <c r="H67" i="51"/>
  <c r="G67" i="51"/>
  <c r="F67" i="51"/>
  <c r="AE59" i="51"/>
  <c r="AD59" i="51"/>
  <c r="P59" i="51"/>
  <c r="H66" i="51"/>
  <c r="G66" i="51"/>
  <c r="F66" i="51"/>
  <c r="AE58" i="51"/>
  <c r="AD58" i="51"/>
  <c r="P58" i="51"/>
  <c r="H65" i="51"/>
  <c r="G65" i="51"/>
  <c r="F65" i="51"/>
  <c r="AE57" i="51"/>
  <c r="AD57" i="51"/>
  <c r="P57" i="51"/>
  <c r="H64" i="51"/>
  <c r="G64" i="51"/>
  <c r="F64" i="51"/>
  <c r="AE56" i="51"/>
  <c r="AD56" i="51"/>
  <c r="P56" i="51"/>
  <c r="H63" i="51"/>
  <c r="G63" i="51"/>
  <c r="F63" i="51"/>
  <c r="AE55" i="51"/>
  <c r="AD55" i="51"/>
  <c r="P55" i="51"/>
  <c r="H62" i="51"/>
  <c r="G62" i="51"/>
  <c r="F62" i="51"/>
  <c r="AE54" i="51"/>
  <c r="AD54" i="51"/>
  <c r="P54" i="51"/>
  <c r="H61" i="51"/>
  <c r="G61" i="51"/>
  <c r="F61" i="51"/>
  <c r="AE53" i="51"/>
  <c r="AD53" i="51"/>
  <c r="P53" i="51"/>
  <c r="H60" i="51"/>
  <c r="G60" i="51"/>
  <c r="F60" i="51"/>
  <c r="AE52" i="51"/>
  <c r="AD52" i="51"/>
  <c r="P52" i="51"/>
  <c r="H59" i="51"/>
  <c r="G59" i="51"/>
  <c r="F59" i="51"/>
  <c r="AE51" i="51"/>
  <c r="AD51" i="51"/>
  <c r="P51" i="51"/>
  <c r="H58" i="51"/>
  <c r="G58" i="51"/>
  <c r="F58" i="51"/>
  <c r="AE50" i="51"/>
  <c r="AD50" i="51"/>
  <c r="P50" i="51"/>
  <c r="H57" i="51"/>
  <c r="G57" i="51"/>
  <c r="F57" i="51"/>
  <c r="AE49" i="51"/>
  <c r="AD49" i="51"/>
  <c r="P49" i="51"/>
  <c r="H56" i="51"/>
  <c r="G56" i="51"/>
  <c r="F56" i="51"/>
  <c r="AE48" i="51"/>
  <c r="AD48" i="51"/>
  <c r="P48" i="51"/>
  <c r="H55" i="51"/>
  <c r="G55" i="51"/>
  <c r="F55" i="51"/>
  <c r="AE47" i="51"/>
  <c r="AD47" i="51"/>
  <c r="P47" i="51"/>
  <c r="H54" i="51"/>
  <c r="G54" i="51"/>
  <c r="F54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F78" i="25"/>
  <c r="H77" i="25"/>
  <c r="G77" i="25"/>
  <c r="F77" i="25"/>
  <c r="H76" i="25"/>
  <c r="G76" i="25"/>
  <c r="F76" i="25"/>
  <c r="H75" i="25"/>
  <c r="G75" i="25"/>
  <c r="F75" i="25"/>
  <c r="H74" i="25"/>
  <c r="G74" i="25"/>
  <c r="F74" i="25"/>
  <c r="H73" i="25"/>
  <c r="G73" i="25"/>
  <c r="F73" i="25"/>
  <c r="H72" i="25"/>
  <c r="G72" i="25"/>
  <c r="F72" i="25"/>
  <c r="H71" i="25"/>
  <c r="G71" i="25"/>
  <c r="F71" i="25"/>
  <c r="H70" i="25"/>
  <c r="G70" i="25"/>
  <c r="F70" i="25"/>
  <c r="H69" i="25"/>
  <c r="G69" i="25"/>
  <c r="F69" i="25"/>
  <c r="H68" i="25"/>
  <c r="G68" i="25"/>
  <c r="F68" i="25"/>
  <c r="H67" i="25"/>
  <c r="G67" i="25"/>
  <c r="F67" i="25"/>
  <c r="H66" i="25"/>
  <c r="G66" i="25"/>
  <c r="F66" i="25"/>
  <c r="H65" i="25"/>
  <c r="G65" i="25"/>
  <c r="F65" i="25"/>
  <c r="H64" i="25"/>
  <c r="G64" i="25"/>
  <c r="F64" i="25"/>
  <c r="H63" i="25"/>
  <c r="G63" i="25"/>
  <c r="H62" i="25"/>
  <c r="G62" i="25"/>
  <c r="H61" i="25"/>
  <c r="G61" i="25"/>
  <c r="H60" i="25"/>
  <c r="G60" i="25"/>
  <c r="H59" i="25"/>
  <c r="G59" i="25"/>
  <c r="H58" i="25"/>
  <c r="G58" i="25"/>
  <c r="H57" i="25"/>
  <c r="G57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AE69" i="25"/>
  <c r="P69" i="25"/>
  <c r="AE68" i="25"/>
  <c r="P68" i="25"/>
  <c r="AE67" i="25"/>
  <c r="P67" i="25"/>
  <c r="AE66" i="25"/>
  <c r="P66" i="25"/>
  <c r="AE65" i="25"/>
  <c r="P65" i="25"/>
  <c r="AE64" i="25"/>
  <c r="P64" i="25"/>
  <c r="AE63" i="25"/>
  <c r="P63" i="25"/>
  <c r="AE62" i="25"/>
  <c r="P62" i="25"/>
  <c r="AE61" i="25"/>
  <c r="P61" i="25"/>
  <c r="AE60" i="25"/>
  <c r="P60" i="25"/>
  <c r="AE59" i="25"/>
  <c r="P59" i="25"/>
  <c r="AE58" i="25"/>
  <c r="P58" i="25"/>
  <c r="AE57" i="25"/>
  <c r="P57" i="25"/>
  <c r="AE56" i="25"/>
  <c r="P56" i="25"/>
  <c r="AE55" i="25"/>
  <c r="P55" i="25"/>
  <c r="AE54" i="25"/>
  <c r="P54" i="25"/>
  <c r="AE53" i="25"/>
  <c r="P53" i="25"/>
  <c r="AE52" i="25"/>
  <c r="P52" i="25"/>
  <c r="AE51" i="25"/>
  <c r="P51" i="25"/>
  <c r="AE50" i="25"/>
  <c r="P50" i="25"/>
  <c r="AE49" i="25"/>
  <c r="P49" i="25"/>
  <c r="AE48" i="25"/>
  <c r="P48" i="25"/>
  <c r="AE47" i="25"/>
  <c r="P47" i="25"/>
  <c r="AE46" i="25"/>
  <c r="P46" i="25"/>
  <c r="AE45" i="25"/>
  <c r="P45" i="25"/>
  <c r="AE44" i="25"/>
  <c r="P44" i="25"/>
  <c r="AE43" i="25"/>
  <c r="P43" i="25"/>
  <c r="AE42" i="25"/>
  <c r="P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Q11" i="25"/>
  <c r="AE10" i="25"/>
  <c r="AE9" i="25"/>
  <c r="AE8" i="25"/>
  <c r="AE7" i="25"/>
  <c r="AE6" i="25"/>
  <c r="AE5" i="25"/>
  <c r="AE4" i="25"/>
  <c r="AE3" i="25"/>
  <c r="AE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H41" i="69"/>
  <c r="G41" i="69"/>
  <c r="F41" i="69"/>
  <c r="AE40" i="69"/>
  <c r="H40" i="69"/>
  <c r="G40" i="69"/>
  <c r="F40" i="69"/>
  <c r="AE39" i="69"/>
  <c r="H39" i="69"/>
  <c r="G39" i="69"/>
  <c r="F39" i="69"/>
  <c r="AE38" i="69"/>
  <c r="H38" i="69"/>
  <c r="G38" i="69"/>
  <c r="F38" i="69"/>
  <c r="AE37" i="69"/>
  <c r="H37" i="69"/>
  <c r="G37" i="69"/>
  <c r="F37" i="69"/>
  <c r="AE36" i="69"/>
  <c r="H36" i="69"/>
  <c r="G36" i="69"/>
  <c r="F36" i="69"/>
  <c r="AE35" i="69"/>
  <c r="H35" i="69"/>
  <c r="G35" i="69"/>
  <c r="F35" i="69"/>
  <c r="AE34" i="69"/>
  <c r="H34" i="69"/>
  <c r="G34" i="69"/>
  <c r="F34" i="69"/>
  <c r="AE33" i="69"/>
  <c r="H33" i="69"/>
  <c r="G33" i="69"/>
  <c r="F33" i="69"/>
  <c r="AE32" i="69"/>
  <c r="H32" i="69"/>
  <c r="G32" i="69"/>
  <c r="F32" i="69"/>
  <c r="AE31" i="69"/>
  <c r="H31" i="69"/>
  <c r="G31" i="69"/>
  <c r="F31" i="69"/>
  <c r="AE30" i="69"/>
  <c r="H30" i="69"/>
  <c r="G30" i="69"/>
  <c r="F30" i="69"/>
  <c r="AE29" i="69"/>
  <c r="H29" i="69"/>
  <c r="G29" i="69"/>
  <c r="F29" i="69"/>
  <c r="AE28" i="69"/>
  <c r="H28" i="69"/>
  <c r="G28" i="69"/>
  <c r="F28" i="69"/>
  <c r="AE27" i="69"/>
  <c r="H27" i="69"/>
  <c r="G27" i="69"/>
  <c r="F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F7" i="69"/>
  <c r="AE6" i="69"/>
  <c r="F6" i="69"/>
  <c r="AE5" i="69"/>
  <c r="F5" i="69"/>
  <c r="AE4" i="69"/>
  <c r="F4" i="69"/>
  <c r="AE3" i="69"/>
  <c r="F3" i="69"/>
  <c r="AE2" i="69"/>
  <c r="K2" i="69"/>
  <c r="K18" i="69" s="1"/>
  <c r="F2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1" i="70"/>
  <c r="H71" i="70"/>
  <c r="C71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58" i="70"/>
  <c r="AE57" i="70"/>
  <c r="AD57" i="70"/>
  <c r="P57" i="70"/>
  <c r="K57" i="70"/>
  <c r="F57" i="70"/>
  <c r="AE56" i="70"/>
  <c r="AD56" i="70"/>
  <c r="P56" i="70"/>
  <c r="K56" i="70"/>
  <c r="F56" i="70"/>
  <c r="AE55" i="70"/>
  <c r="AD55" i="70"/>
  <c r="P55" i="70"/>
  <c r="K55" i="70"/>
  <c r="F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T267" i="1"/>
  <c r="N244" i="1" s="1"/>
  <c r="R267" i="1"/>
  <c r="N249" i="1" s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19" i="55"/>
  <c r="M85" i="64"/>
  <c r="M132" i="45"/>
  <c r="C29" i="51"/>
  <c r="M19" i="76"/>
  <c r="F19" i="59"/>
  <c r="H19" i="3"/>
  <c r="M65" i="63"/>
  <c r="M67" i="60"/>
  <c r="F63" i="66"/>
  <c r="C19" i="59"/>
  <c r="C19" i="60"/>
  <c r="F19" i="3"/>
  <c r="M156" i="49"/>
  <c r="M30" i="49"/>
  <c r="M100" i="34"/>
  <c r="M119" i="7"/>
  <c r="C65" i="63"/>
  <c r="C63" i="66"/>
  <c r="C154" i="61"/>
  <c r="H19" i="64"/>
  <c r="K19" i="60"/>
  <c r="H19" i="75"/>
  <c r="F19" i="53"/>
  <c r="C19" i="68"/>
  <c r="K156" i="49"/>
  <c r="H19" i="70"/>
  <c r="C119" i="7"/>
  <c r="M19" i="59"/>
  <c r="C32" i="31"/>
  <c r="F23" i="17"/>
  <c r="F90" i="72"/>
  <c r="H55" i="50"/>
  <c r="K19" i="72"/>
  <c r="K72" i="70"/>
  <c r="C19" i="34"/>
  <c r="C103" i="58"/>
  <c r="K19" i="54"/>
  <c r="C85" i="64"/>
  <c r="K29" i="51"/>
  <c r="F19" i="66"/>
  <c r="H65" i="71"/>
  <c r="K19" i="34"/>
  <c r="F132" i="61"/>
  <c r="F32" i="31"/>
  <c r="H156" i="49"/>
  <c r="F86" i="53"/>
  <c r="M19" i="40"/>
  <c r="F111" i="54"/>
  <c r="M19" i="72"/>
  <c r="M55" i="50"/>
  <c r="C72" i="59"/>
  <c r="C19" i="54"/>
  <c r="M19" i="45"/>
  <c r="F19" i="58"/>
  <c r="K86" i="53"/>
  <c r="H19" i="60"/>
  <c r="M94" i="52"/>
  <c r="C67" i="60"/>
  <c r="K85" i="64"/>
  <c r="M19" i="41"/>
  <c r="K132" i="61"/>
  <c r="K72" i="76"/>
  <c r="K19" i="50"/>
  <c r="H65" i="63"/>
  <c r="M19" i="58"/>
  <c r="C19" i="69"/>
  <c r="K65" i="71"/>
  <c r="C86" i="53"/>
  <c r="C72" i="70"/>
  <c r="F154" i="61"/>
  <c r="F19" i="68"/>
  <c r="F489" i="17"/>
  <c r="C19" i="70"/>
  <c r="F19" i="73"/>
  <c r="H90" i="72"/>
  <c r="M29" i="51"/>
  <c r="C19" i="63"/>
  <c r="C80" i="41"/>
  <c r="F19" i="70"/>
  <c r="H85" i="64"/>
  <c r="M132" i="61"/>
  <c r="K19" i="73"/>
  <c r="H19" i="45"/>
  <c r="K19" i="66"/>
  <c r="H19" i="52"/>
  <c r="H19" i="54"/>
  <c r="M63" i="66"/>
  <c r="K67" i="60"/>
  <c r="C65" i="71"/>
  <c r="C19" i="64"/>
  <c r="C19" i="40"/>
  <c r="K111" i="54"/>
  <c r="H19" i="62"/>
  <c r="F156" i="49"/>
  <c r="K32" i="31"/>
  <c r="K19" i="71"/>
  <c r="M32" i="25"/>
  <c r="H154" i="61"/>
  <c r="F30" i="49"/>
  <c r="C489" i="17"/>
  <c r="F19" i="52"/>
  <c r="K19" i="41"/>
  <c r="F94" i="52"/>
  <c r="K19" i="58"/>
  <c r="K132" i="45"/>
  <c r="M19" i="61"/>
  <c r="H19" i="61"/>
  <c r="M19" i="57"/>
  <c r="F72" i="59"/>
  <c r="C19" i="52"/>
  <c r="K63" i="66"/>
  <c r="K19" i="70"/>
  <c r="H19" i="68"/>
  <c r="C23" i="17"/>
  <c r="M90" i="72"/>
  <c r="C55" i="50"/>
  <c r="H19" i="72"/>
  <c r="F19" i="54"/>
  <c r="K103" i="58"/>
  <c r="C19" i="53"/>
  <c r="F19" i="63"/>
  <c r="H19" i="63"/>
  <c r="M19" i="68"/>
  <c r="K120" i="57"/>
  <c r="M19" i="66"/>
  <c r="M80" i="41"/>
  <c r="M72" i="76"/>
  <c r="M19" i="52"/>
  <c r="F120" i="57"/>
  <c r="C19" i="57"/>
  <c r="C19" i="62"/>
  <c r="F19" i="76"/>
  <c r="K32" i="25"/>
  <c r="K19" i="76"/>
  <c r="H132" i="61"/>
  <c r="C19" i="61"/>
  <c r="H19" i="71"/>
  <c r="C19" i="55"/>
  <c r="H23" i="17"/>
  <c r="H19" i="58"/>
  <c r="M19" i="62"/>
  <c r="M19" i="53"/>
  <c r="K19" i="63"/>
  <c r="K19" i="59"/>
  <c r="F19" i="72"/>
  <c r="F119" i="7"/>
  <c r="F85" i="64"/>
  <c r="M19" i="64"/>
  <c r="H30" i="49"/>
  <c r="M154" i="61"/>
  <c r="F19" i="75"/>
  <c r="C19" i="73"/>
  <c r="F19" i="64"/>
  <c r="F72" i="76"/>
  <c r="K19" i="45"/>
  <c r="C156" i="49"/>
  <c r="C30" i="49"/>
  <c r="F19" i="41"/>
  <c r="H67" i="60"/>
  <c r="M72" i="59"/>
  <c r="H19" i="34"/>
  <c r="F100" i="34"/>
  <c r="K19" i="61"/>
  <c r="C19" i="50"/>
  <c r="H72" i="59"/>
  <c r="F80" i="41"/>
  <c r="F19" i="45"/>
  <c r="M111" i="54"/>
  <c r="C132" i="61"/>
  <c r="K489" i="17"/>
  <c r="K19" i="75"/>
  <c r="H111" i="54"/>
  <c r="H32" i="31"/>
  <c r="M103" i="58"/>
  <c r="H100" i="34"/>
  <c r="F19" i="71"/>
  <c r="H19" i="59"/>
  <c r="F19" i="62"/>
  <c r="C19" i="75"/>
  <c r="F29" i="51"/>
  <c r="H103" i="58"/>
  <c r="K100" i="34"/>
  <c r="C94" i="52"/>
  <c r="M19" i="75"/>
  <c r="K94" i="52"/>
  <c r="F132" i="45"/>
  <c r="K19" i="52"/>
  <c r="F19" i="60"/>
  <c r="F19" i="57"/>
  <c r="H19" i="73"/>
  <c r="F103" i="58"/>
  <c r="K154" i="61"/>
  <c r="H19" i="53"/>
  <c r="M19" i="71"/>
  <c r="C19" i="76"/>
  <c r="C19" i="72"/>
  <c r="H32" i="25"/>
  <c r="K55" i="50"/>
  <c r="H19" i="76"/>
  <c r="M19" i="55"/>
  <c r="C19" i="41"/>
  <c r="M489" i="17"/>
  <c r="M19" i="73"/>
  <c r="M72" i="70"/>
  <c r="K19" i="69"/>
  <c r="K19" i="40"/>
  <c r="F19" i="40"/>
  <c r="H19" i="41"/>
  <c r="F19" i="50"/>
  <c r="H63" i="66"/>
  <c r="K80" i="41"/>
  <c r="M86" i="53"/>
  <c r="C32" i="25"/>
  <c r="M19" i="54"/>
  <c r="M19" i="50"/>
  <c r="C111" i="54"/>
  <c r="F19" i="34"/>
  <c r="K72" i="59"/>
  <c r="F65" i="63"/>
  <c r="K30" i="49"/>
  <c r="H489" i="17"/>
  <c r="C19" i="45"/>
  <c r="M19" i="60"/>
  <c r="K90" i="72"/>
  <c r="H132" i="45"/>
  <c r="K19" i="64"/>
  <c r="H80" i="41"/>
  <c r="H94" i="52"/>
  <c r="F67" i="60"/>
  <c r="H19" i="69"/>
  <c r="F19" i="61"/>
  <c r="M23" i="17"/>
  <c r="K65" i="63"/>
  <c r="M19" i="3"/>
  <c r="M32" i="31"/>
  <c r="M120" i="57"/>
  <c r="K19" i="62"/>
  <c r="F32" i="25"/>
  <c r="H72" i="70"/>
  <c r="F19" i="55"/>
  <c r="M65" i="71"/>
  <c r="F19" i="69"/>
  <c r="M19" i="69"/>
  <c r="K119" i="7"/>
  <c r="H119" i="7"/>
  <c r="H19" i="40"/>
  <c r="K19" i="68"/>
  <c r="K19" i="55"/>
  <c r="C19" i="66"/>
  <c r="H86" i="53"/>
  <c r="K19" i="3"/>
  <c r="C120" i="57"/>
  <c r="C19" i="71"/>
  <c r="C132" i="45"/>
  <c r="H72" i="76"/>
  <c r="C90" i="72"/>
  <c r="F55" i="50"/>
  <c r="H19" i="50"/>
  <c r="C19" i="58"/>
  <c r="K23" i="17"/>
  <c r="H120" i="57"/>
  <c r="C100" i="34"/>
  <c r="F65" i="71"/>
  <c r="H29" i="51"/>
  <c r="M19" i="63"/>
  <c r="M19" i="70"/>
  <c r="F72" i="70"/>
  <c r="C19" i="3"/>
  <c r="H19" i="66"/>
  <c r="M19" i="34"/>
  <c r="K19" i="53"/>
  <c r="C72" i="76"/>
  <c r="K19" i="57"/>
  <c r="H19" i="57"/>
  <c r="K52" i="16" l="1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2" i="26"/>
  <c r="Q5" i="26" s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M53" i="76"/>
  <c r="Q10" i="76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5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K18" i="40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Q2" i="76"/>
  <c r="Q5" i="76" s="1"/>
  <c r="O258" i="38"/>
  <c r="K73" i="55"/>
  <c r="F73" i="62"/>
  <c r="K27" i="1"/>
  <c r="F32" i="1"/>
  <c r="N32" i="1" s="1"/>
  <c r="O32" i="1" s="1"/>
  <c r="K237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86" i="40"/>
  <c r="X2" i="38"/>
  <c r="N248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6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K18" i="70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15" i="1"/>
  <c r="N215" i="1" s="1"/>
  <c r="O215" i="1" s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37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6" i="1"/>
  <c r="K230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88" i="17"/>
  <c r="F35" i="30"/>
  <c r="T279" i="38"/>
  <c r="N279" i="38"/>
  <c r="K83" i="1"/>
  <c r="N207" i="1"/>
  <c r="O207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75" i="1"/>
  <c r="O175" i="1" s="1"/>
  <c r="K55" i="47"/>
  <c r="F83" i="1"/>
  <c r="K172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31" i="45"/>
  <c r="T247" i="38"/>
  <c r="N247" i="38"/>
  <c r="T344" i="38"/>
  <c r="N344" i="38"/>
  <c r="U289" i="38"/>
  <c r="T199" i="38"/>
  <c r="N199" i="38"/>
  <c r="K88" i="1"/>
  <c r="K16" i="1"/>
  <c r="F204" i="1"/>
  <c r="O43" i="38"/>
  <c r="O52" i="38"/>
  <c r="K107" i="1"/>
  <c r="K139" i="1"/>
  <c r="F139" i="1"/>
  <c r="K204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F59" i="41"/>
  <c r="K59" i="41"/>
  <c r="O160" i="38"/>
  <c r="O185" i="38"/>
  <c r="O196" i="38"/>
  <c r="O210" i="38"/>
  <c r="R258" i="38"/>
  <c r="O281" i="38"/>
  <c r="O355" i="38"/>
  <c r="K71" i="70"/>
  <c r="Q2" i="69"/>
  <c r="Q5" i="69" s="1"/>
  <c r="Q2" i="51"/>
  <c r="Q5" i="51" s="1"/>
  <c r="Q8" i="42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K153" i="6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8" i="10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3" i="1"/>
  <c r="N153" i="1" s="1"/>
  <c r="O153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1" i="1"/>
  <c r="O221" i="1" s="1"/>
  <c r="N240" i="1"/>
  <c r="O240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72" i="1"/>
  <c r="F211" i="1"/>
  <c r="N211" i="1" s="1"/>
  <c r="O211" i="1" s="1"/>
  <c r="N242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18" i="1"/>
  <c r="O218" i="1" s="1"/>
  <c r="O16" i="38"/>
  <c r="V30" i="38"/>
  <c r="W30" i="38" s="1"/>
  <c r="U58" i="38"/>
  <c r="U94" i="38"/>
  <c r="U101" i="38"/>
  <c r="O155" i="38"/>
  <c r="U197" i="38"/>
  <c r="U213" i="38"/>
  <c r="F230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Q9" i="10"/>
  <c r="Q3" i="10"/>
  <c r="Q6" i="10" s="1"/>
  <c r="Q5" i="10"/>
  <c r="N253" i="38"/>
  <c r="T253" i="38"/>
  <c r="T317" i="38"/>
  <c r="N317" i="38"/>
  <c r="O354" i="38"/>
  <c r="F22" i="17"/>
  <c r="F79" i="41"/>
  <c r="T262" i="38"/>
  <c r="T270" i="38"/>
  <c r="T278" i="38"/>
  <c r="T289" i="38"/>
  <c r="F18" i="69"/>
  <c r="T334" i="38"/>
  <c r="N334" i="38"/>
  <c r="O335" i="38"/>
  <c r="F31" i="25"/>
  <c r="O341" i="38"/>
  <c r="Q3" i="47"/>
  <c r="Q6" i="47" s="1"/>
  <c r="F18" i="40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F18" i="70"/>
  <c r="K64" i="63"/>
  <c r="K488" i="17"/>
  <c r="Q9" i="42"/>
  <c r="Q3" i="42"/>
  <c r="Q6" i="42" s="1"/>
  <c r="F99" i="34"/>
  <c r="Q5" i="40"/>
  <c r="F71" i="70"/>
  <c r="F131" i="45"/>
  <c r="F85" i="53"/>
  <c r="F57" i="33"/>
  <c r="Q2" i="56"/>
  <c r="F131" i="61"/>
  <c r="F50" i="15"/>
  <c r="K64" i="71"/>
  <c r="F28" i="51"/>
  <c r="K118" i="7"/>
  <c r="K79" i="41"/>
  <c r="K85" i="3"/>
  <c r="F153" i="61"/>
  <c r="F18" i="53"/>
  <c r="K155" i="49"/>
  <c r="Q5" i="74"/>
  <c r="Q9" i="74"/>
  <c r="Q3" i="74"/>
  <c r="Q6" i="74" s="1"/>
  <c r="M43" i="48"/>
  <c r="Q10" i="48" s="1"/>
  <c r="Q2" i="70"/>
  <c r="Q5" i="70" s="1"/>
  <c r="F64" i="5"/>
  <c r="N352" i="38"/>
  <c r="O360" i="38"/>
  <c r="F56" i="13"/>
  <c r="F49" i="20"/>
  <c r="K131" i="61"/>
  <c r="F50" i="46"/>
  <c r="F51" i="24"/>
  <c r="F86" i="40"/>
  <c r="M40" i="43"/>
  <c r="Q10" i="43" s="1"/>
  <c r="F173" i="51"/>
  <c r="K173" i="51"/>
  <c r="Q2" i="44"/>
  <c r="Q3" i="44" s="1"/>
  <c r="Q6" i="44" s="1"/>
  <c r="Q2" i="32"/>
  <c r="Q8" i="32" s="1"/>
  <c r="F44" i="26"/>
  <c r="K44" i="26"/>
  <c r="Q2" i="71"/>
  <c r="Q3" i="26"/>
  <c r="Q6" i="26" s="1"/>
  <c r="M104" i="49"/>
  <c r="Q2" i="25"/>
  <c r="M126" i="49" l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30" i="1"/>
  <c r="O230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76"/>
  <c r="Q8" i="49"/>
  <c r="Q3" i="13"/>
  <c r="Q6" i="13" s="1"/>
  <c r="Q8" i="53"/>
  <c r="Q5" i="13"/>
  <c r="Q3" i="76"/>
  <c r="Q6" i="76" s="1"/>
  <c r="Q8" i="64"/>
  <c r="N166" i="1"/>
  <c r="O166" i="1" s="1"/>
  <c r="Q3" i="5"/>
  <c r="Q6" i="5" s="1"/>
  <c r="Q5" i="49"/>
  <c r="Q8" i="28"/>
  <c r="Q7" i="28" s="1"/>
  <c r="Q9" i="5"/>
  <c r="Q8" i="5"/>
  <c r="Q8" i="16"/>
  <c r="Q3" i="50"/>
  <c r="Q6" i="50" s="1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68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72" i="1"/>
  <c r="O172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M135" i="61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37" i="1"/>
  <c r="O237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7" i="42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04" i="1"/>
  <c r="O204" i="1" s="1"/>
  <c r="M10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48" i="41"/>
  <c r="M322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P375" i="38" s="1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113" i="6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M61" i="4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3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4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10" i="49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Q7" i="47" l="1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9" i="76"/>
  <c r="Q7" i="49"/>
  <c r="Q9" i="75"/>
  <c r="Q9" i="50"/>
  <c r="Q9" i="69"/>
  <c r="Q9" i="31"/>
  <c r="Q9" i="53"/>
  <c r="Q7" i="5"/>
  <c r="Q7" i="76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3" i="1"/>
  <c r="N247" i="1" s="1"/>
  <c r="N251" i="1" s="1"/>
  <c r="Q7" i="48"/>
  <c r="Q9" i="51"/>
  <c r="Q7" i="58"/>
  <c r="Q7" i="45"/>
  <c r="Q7" i="33"/>
  <c r="Q10" i="61"/>
  <c r="Q7" i="61" s="1"/>
  <c r="Q9" i="58"/>
  <c r="P205" i="38"/>
  <c r="P219" i="38"/>
  <c r="P258" i="38"/>
  <c r="P300" i="38"/>
  <c r="P244" i="38"/>
  <c r="P266" i="38"/>
  <c r="P91" i="38"/>
  <c r="P263" i="38"/>
  <c r="P182" i="38"/>
  <c r="Q10" i="41"/>
  <c r="Q7" i="41" s="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81" type="4" refreshedVersion="5" saveData="1">
    <webPr sourceData="1" parsePre="1" consecutive="1" xl2000="1" url="http://finance.yahoo.com/q/hp?s=vgk" htmlTables="1">
      <tables count="1">
        <x v="15"/>
      </tables>
    </webPr>
  </connection>
  <connection id="9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1" name="Connection791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9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100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10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1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1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4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<sst xmlns="http://schemas.openxmlformats.org/spreadsheetml/2006/main" count="5681" uniqueCount="748">
  <si>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</si>
  <si>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</si>
  <si>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</si>
  <si>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</si>
  <si>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</si>
  <si>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</si>
  <si>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</si>
  <si>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</si>
  <si>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</si>
  <si>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</si>
  <si>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</si>
  <si>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</si>
  <si>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</si>
  <si>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</si>
  <si>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</si>
  <si>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</si>
  <si>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</si>
  <si>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</si>
  <si>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</si>
  <si>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</si>
  <si>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</si>
  <si>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</si>
  <si>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</si>
  <si>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</si>
  <si>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</si>
  <si>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</si>
  <si>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</si>
  <si>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</si>
  <si>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</si>
  <si>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</si>
  <si>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</si>
  <si>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</si>
  <si>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</si>
  <si>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</si>
  <si>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</si>
  <si>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</si>
  <si>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</si>
  <si>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</si>
  <si>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</si>
  <si>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</si>
  <si>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</si>
  <si>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</si>
  <si>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</si>
  <si>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</si>
  <si>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</si>
  <si>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</si>
  <si>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</si>
  <si>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</si>
  <si>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</si>
  <si>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</si>
  <si>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</si>
  <si>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</si>
  <si>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</si>
  <si>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</si>
  <si>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</si>
  <si>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</si>
  <si>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</si>
  <si>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</si>
  <si>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</si>
  <si>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</si>
  <si>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</si>
  <si>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</si>
  <si>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</si>
  <si>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</si>
  <si>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</si>
  <si>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</si>
  <si>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</si>
  <si>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</si>
  <si>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</si>
  <si>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</si>
  <si>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</si>
  <si>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</si>
  <si>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</si>
  <si>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</si>
  <si>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</si>
  <si>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</si>
  <si>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</si>
  <si>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</si>
  <si>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</si>
  <si>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</si>
  <si>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</si>
  <si>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</si>
  <si>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</si>
  <si>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</si>
  <si>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</si>
  <si>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</si>
  <si>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</si>
  <si>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</si>
  <si>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</si>
  <si>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</si>
  <si>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</si>
  <si>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</si>
  <si>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</si>
  <si>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</si>
  <si>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</si>
  <si>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</si>
  <si>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</si>
  <si>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</si>
  <si>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</si>
  <si>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</si>
  <si>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</si>
  <si>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</si>
  <si>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</si>
  <si>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</si>
  <si>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</si>
  <si>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</si>
  <si>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</si>
  <si>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</si>
  <si>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</si>
  <si>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</si>
  <si>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</si>
  <si>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</si>
  <si>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</si>
  <si>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</si>
  <si>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</si>
  <si>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</si>
  <si>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</si>
  <si>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</si>
  <si>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</si>
  <si>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</si>
  <si>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</si>
  <si>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</si>
  <si>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</si>
  <si>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</si>
  <si>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</si>
  <si>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</si>
  <si>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</si>
  <si>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</si>
  <si>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</si>
  <si>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</si>
  <si>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</si>
  <si>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</si>
  <si>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</si>
  <si>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</si>
  <si>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</si>
  <si>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</si>
  <si>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</si>
  <si>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</si>
  <si>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</si>
  <si>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</si>
  <si>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</si>
  <si>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</si>
  <si>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</si>
  <si>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</si>
  <si>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</si>
  <si>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</si>
  <si>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</si>
  <si>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</si>
  <si>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</si>
  <si>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</si>
  <si>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</si>
  <si>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</si>
  <si>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</si>
  <si>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</si>
  <si>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</si>
  <si>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</si>
  <si>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</si>
  <si>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</si>
  <si>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</si>
  <si>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</si>
  <si>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</si>
  <si>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</si>
  <si>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</si>
  <si>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</si>
  <si>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</si>
  <si>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</si>
  <si>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</si>
  <si>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</si>
  <si>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</si>
  <si>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</si>
  <si>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</si>
  <si>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</si>
  <si>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</si>
  <si>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</si>
  <si>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</si>
  <si>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</si>
  <si>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</si>
  <si>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</si>
  <si>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</si>
  <si>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</si>
  <si>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</si>
  <si>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</si>
  <si>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</si>
  <si>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</si>
  <si>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</si>
  <si>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</si>
  <si>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</si>
  <si>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</si>
  <si>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</si>
  <si>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</si>
  <si>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</si>
  <si>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</si>
  <si>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</si>
  <si>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</si>
  <si>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</si>
  <si>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</si>
  <si>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</si>
  <si>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</si>
  <si>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</si>
  <si>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</si>
  <si>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</si>
  <si>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</si>
  <si>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</si>
  <si>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</si>
  <si>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</si>
  <si>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</si>
  <si>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</si>
  <si>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</si>
  <si>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</si>
  <si>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</si>
  <si>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</si>
  <si>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</si>
  <si>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</si>
  <si>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</si>
  <si>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</si>
  <si>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</si>
  <si>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</si>
  <si>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</si>
  <si>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</si>
  <si>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</si>
  <si>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</si>
  <si>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</si>
  <si>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</si>
  <si>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</si>
  <si>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</si>
  <si>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</si>
  <si>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</si>
  <si>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</si>
  <si>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</si>
  <si>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</si>
  <si>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</si>
  <si>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</si>
  <si>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</si>
  <si>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</si>
  <si>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</si>
  <si>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</si>
  <si>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</si>
  <si>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</si>
  <si>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</si>
  <si>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</si>
  <si>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</si>
  <si>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</si>
  <si>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</si>
  <si>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</si>
  <si>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</si>
  <si>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</si>
  <si>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</si>
  <si>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</si>
  <si>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</si>
  <si>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</si>
  <si>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</si>
  <si>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</si>
  <si>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</si>
  <si>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</si>
  <si>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</si>
  <si>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</si>
  <si>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</si>
  <si>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</si>
  <si>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</si>
  <si>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</si>
  <si>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</si>
  <si>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</si>
  <si>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</si>
  <si>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</si>
  <si>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</si>
  <si>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</si>
  <si>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</si>
  <si>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</si>
  <si>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</si>
  <si>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</si>
  <si>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</si>
  <si>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</si>
  <si>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</si>
  <si>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</si>
  <si>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</si>
  <si>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</si>
  <si>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</si>
  <si>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</si>
  <si>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</si>
  <si>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</si>
  <si>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</si>
  <si>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</si>
  <si>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</si>
  <si>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</si>
  <si>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</si>
  <si>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</si>
  <si>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</si>
  <si>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</si>
  <si>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</si>
  <si>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</si>
  <si>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</si>
  <si>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</si>
  <si>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</si>
  <si>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</si>
  <si>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</si>
  <si>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</si>
  <si>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</si>
  <si>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</si>
  <si>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</si>
  <si>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</si>
  <si>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</si>
  <si>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</si>
  <si>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</si>
  <si>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</si>
  <si>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</si>
  <si>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</si>
  <si>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</si>
  <si>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</si>
  <si>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</si>
  <si>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</si>
  <si>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</si>
  <si>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</si>
  <si>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</si>
  <si>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</si>
  <si>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</si>
  <si>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</si>
  <si>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0.36 (1.25%)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</si>
  <si>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</si>
  <si>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</si>
  <si>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</si>
  <si>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</si>
  <si>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</si>
  <si>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</si>
  <si>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</si>
  <si>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</si>
  <si>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</si>
  <si>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</si>
  <si>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19.18 - 31.19</t>
  </si>
  <si>
    <t>0.605 Dividend</t>
  </si>
  <si>
    <t>12/7/2016   800 @ 20.20</t>
  </si>
  <si>
    <t>0.10 Dividend</t>
  </si>
  <si>
    <t>0.282 Dividend</t>
  </si>
  <si>
    <t>0.78 Dividend</t>
  </si>
  <si>
    <t>0.28 Dividend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</si>
  <si>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</si>
  <si>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</si>
  <si>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</si>
  <si>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</si>
  <si>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</si>
  <si>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</si>
  <si>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</si>
  <si>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</si>
  <si>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</si>
  <si>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</si>
  <si>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</si>
  <si>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</si>
  <si>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</si>
  <si>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49.01 - 65.44</t>
  </si>
  <si>
    <t>0.226 Dividend</t>
  </si>
  <si>
    <t>1.14 (1.67%)</t>
  </si>
  <si>
    <t>14.02 - 26.46</t>
  </si>
  <si>
    <t>Mar 21 - Mar 27 (Est.)</t>
  </si>
  <si>
    <t>25.00 ---&gt; 24.50</t>
  </si>
  <si>
    <t>ISTPDR61</t>
  </si>
  <si>
    <t>GCFPURGB</t>
  </si>
  <si>
    <t>N/A - N/A</t>
  </si>
  <si>
    <t>1.19B</t>
  </si>
  <si>
    <t>0.178 Dividend</t>
  </si>
  <si>
    <t>42.73 - 50.70</t>
  </si>
  <si>
    <t>AOBC</t>
  </si>
  <si>
    <t>62.70 - 87.85</t>
  </si>
  <si>
    <t>9-Mar-17SIG Earnings announcement</t>
  </si>
  <si>
    <t>0.39 Dividend</t>
  </si>
  <si>
    <t>28.27 - 35.11</t>
  </si>
  <si>
    <t>TEVA</t>
  </si>
  <si>
    <t>0.34 Dividend</t>
  </si>
  <si>
    <t>34.16 - 55.59</t>
  </si>
  <si>
    <t>Apr 12 - Apr 17 (Est.)</t>
  </si>
  <si>
    <t>13-Apr-17WFC Earnings announcement</t>
  </si>
  <si>
    <t>0.20 Dividend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</si>
  <si>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</si>
  <si>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</si>
  <si>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</si>
  <si>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</si>
  <si>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</si>
  <si>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</si>
  <si>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</si>
  <si>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</si>
  <si>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</si>
  <si>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</si>
  <si>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</si>
  <si>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</si>
  <si>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</si>
  <si>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</si>
  <si>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</si>
  <si>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</si>
  <si>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</si>
  <si>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</si>
  <si>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</si>
  <si>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</si>
  <si>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</si>
  <si>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</si>
  <si>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</si>
  <si>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</si>
  <si>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</si>
  <si>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</si>
  <si>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</si>
  <si>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</si>
  <si>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</si>
  <si>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</si>
  <si>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</si>
  <si>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</si>
  <si>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</si>
  <si>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</si>
  <si>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</si>
  <si>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</si>
  <si>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</si>
  <si>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</si>
  <si>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</si>
  <si>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</si>
  <si>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</si>
  <si>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</si>
  <si>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</si>
  <si>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</si>
  <si>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</si>
  <si>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Apr 19 - Apr 24 (Est.)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</si>
  <si>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</si>
  <si>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</si>
  <si>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</si>
  <si>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</si>
  <si>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</si>
  <si>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</si>
  <si>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</si>
  <si>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</si>
  <si>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</si>
  <si>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</si>
  <si>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</si>
  <si>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</si>
  <si>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</si>
  <si>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</si>
  <si>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</si>
  <si>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</si>
  <si>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</si>
  <si>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</si>
  <si>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</si>
  <si>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</si>
  <si>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</si>
  <si>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10.39 - 16.07</t>
  </si>
  <si>
    <t>0.61 Dividend</t>
  </si>
  <si>
    <t>1350,   250</t>
  </si>
  <si>
    <t>5300,    200</t>
  </si>
  <si>
    <t>35,     0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</si>
  <si>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</si>
  <si>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</si>
  <si>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</si>
  <si>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</si>
  <si>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</si>
  <si>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</si>
  <si>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</si>
  <si>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</si>
  <si>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</si>
  <si>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</si>
  <si>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</si>
  <si>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</si>
  <si>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</si>
  <si>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</si>
  <si>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</si>
  <si>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</si>
  <si>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</si>
  <si>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</si>
  <si>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</si>
  <si>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</si>
  <si>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23.33 - 31.75</t>
  </si>
  <si>
    <t>34.92 - 59.49</t>
  </si>
  <si>
    <t>31.90 - 59.35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</si>
  <si>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</si>
  <si>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</si>
  <si>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</si>
  <si>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</si>
  <si>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</si>
  <si>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</si>
  <si>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</si>
  <si>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</si>
  <si>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</si>
  <si>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90.32 - 111.99</t>
  </si>
  <si>
    <t>27.34 - 38.38</t>
  </si>
  <si>
    <t>1650,   250</t>
  </si>
  <si>
    <t>100,    0</t>
  </si>
  <si>
    <t>May 8 - May 12 (Est.)</t>
  </si>
  <si>
    <t>May 2 - May 8 (Est.)</t>
  </si>
  <si>
    <t>21-Mar-17CCE Earnings announcement</t>
  </si>
  <si>
    <t>May 1 - May 5 (Est.)</t>
  </si>
  <si>
    <t>Apr 27 - May 1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</si>
  <si>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</si>
  <si>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</si>
  <si>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</si>
  <si>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</si>
  <si>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</si>
  <si>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</si>
  <si>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</si>
  <si>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</si>
  <si>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</si>
  <si>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</si>
  <si>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</si>
  <si>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</si>
  <si>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16-Mar-17DG Earnings announcement</t>
  </si>
  <si>
    <t>24.15 x 100</t>
  </si>
  <si>
    <t>22.77 - 34.36</t>
  </si>
  <si>
    <t>0.125 Dividend</t>
  </si>
  <si>
    <t>0.60 (0.38%)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</si>
  <si>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</si>
  <si>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</si>
  <si>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</si>
  <si>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</si>
  <si>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</si>
  <si>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</si>
  <si>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</si>
  <si>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</si>
  <si>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</si>
  <si>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</si>
  <si>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</si>
  <si>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1.28 (1.60%)</t>
  </si>
  <si>
    <t>33.20 x 200</t>
  </si>
  <si>
    <t>29.50 - 38.45</t>
  </si>
  <si>
    <t>55.73 - 72.73</t>
  </si>
  <si>
    <t>0.203 Dividend</t>
  </si>
  <si>
    <t>28.72 - 46.45</t>
  </si>
  <si>
    <t>1300,   400</t>
  </si>
  <si>
    <t>30,   30</t>
  </si>
  <si>
    <t>1550,   350</t>
  </si>
  <si>
    <t>23-Mar-17MU Earnings announcement</t>
  </si>
  <si>
    <t>104.96 x 10500</t>
  </si>
  <si>
    <t>0.37 Dividend</t>
  </si>
  <si>
    <t>2.64 (2.34%)</t>
  </si>
  <si>
    <t>LAST_PRICE</t>
  </si>
  <si>
    <t>VOLUME</t>
  </si>
  <si>
    <t>#N/A N/A</t>
  </si>
  <si>
    <t>UREH7 Equity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</si>
  <si>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</si>
  <si>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</si>
  <si>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</si>
  <si>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</si>
  <si>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</si>
  <si>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</si>
  <si>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</si>
  <si>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</si>
  <si>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MA-50</t>
  </si>
  <si>
    <t>MA-200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</si>
  <si>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</si>
  <si>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</si>
  <si>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</si>
  <si>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</si>
  <si>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</si>
  <si>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</si>
  <si>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</si>
  <si>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</si>
  <si>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</si>
  <si>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</si>
  <si>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</si>
  <si>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62.73 - 125.45</t>
  </si>
  <si>
    <t>89.47 - 140.28</t>
  </si>
  <si>
    <t>57.15 - 82.00</t>
  </si>
  <si>
    <t>35.42 - 59.68</t>
  </si>
  <si>
    <t>2-May-17CVS Earnings announcement</t>
  </si>
  <si>
    <t>2.00 (2.46%)</t>
  </si>
  <si>
    <t>9.65 - 19.28</t>
  </si>
  <si>
    <t>28.71 - 39.22</t>
  </si>
  <si>
    <t>105.49 - 126.07</t>
  </si>
  <si>
    <t>4.26B</t>
  </si>
  <si>
    <t>21-Mar-17NKE Earnings announcement</t>
  </si>
  <si>
    <t>0.72 (1.25%)</t>
  </si>
  <si>
    <t>0.275 Dividend</t>
  </si>
  <si>
    <t>45.37 - 65.56</t>
  </si>
  <si>
    <t>74.70 - 125.00</t>
  </si>
  <si>
    <t>40.14 x 100</t>
  </si>
  <si>
    <t>197.38 - 240.32</t>
  </si>
  <si>
    <t>57.11 - 97.57</t>
  </si>
  <si>
    <t>1.12 (1.18%)</t>
  </si>
  <si>
    <t>3.00B</t>
  </si>
  <si>
    <t>20.77 - 37.17</t>
  </si>
  <si>
    <t>May 16 - May 22 (Est.)</t>
  </si>
  <si>
    <t>38.14 - 55.45</t>
  </si>
  <si>
    <t>23.80B</t>
  </si>
  <si>
    <t>0.76 (1.54%)</t>
  </si>
  <si>
    <t>May 30 - Jun 5 (Est.)</t>
  </si>
  <si>
    <t>63.73 - 83.05</t>
  </si>
  <si>
    <t>1.36 (1.66%)</t>
  </si>
  <si>
    <t>2.78 - 5.85</t>
  </si>
  <si>
    <t>2.08 (2.95%)</t>
  </si>
  <si>
    <t>48.50 - 72.28</t>
  </si>
  <si>
    <t>0.50 (0.71%)</t>
  </si>
  <si>
    <t>58.70 - 72.95</t>
  </si>
  <si>
    <t>136.58 - 160.89</t>
  </si>
  <si>
    <t>80,    30</t>
  </si>
  <si>
    <t>294.27 x 100</t>
  </si>
  <si>
    <t>297.85 x 100</t>
  </si>
  <si>
    <t>293.12 - 298.00</t>
  </si>
  <si>
    <t>64.32B</t>
  </si>
  <si>
    <t>42.58 x 100</t>
  </si>
  <si>
    <t>45.80 x 800</t>
  </si>
  <si>
    <t>44.91 - 45.75</t>
  </si>
  <si>
    <t>24.18B</t>
  </si>
  <si>
    <t>62.80 - 66.38</t>
  </si>
  <si>
    <t>4.49B</t>
  </si>
  <si>
    <t>1.04 (1.58%)</t>
  </si>
  <si>
    <t>139.53 x 500</t>
  </si>
  <si>
    <t>139.68 x 200</t>
  </si>
  <si>
    <t>138.59 - 139.83</t>
  </si>
  <si>
    <t>733.36B</t>
  </si>
  <si>
    <t>2.28 (1.64%)</t>
  </si>
  <si>
    <t>79.82 - 80.66</t>
  </si>
  <si>
    <t>71.99B</t>
  </si>
  <si>
    <t>72.74 - 73.96</t>
  </si>
  <si>
    <t>20.20B</t>
  </si>
  <si>
    <t>1.00 (1.35%)</t>
  </si>
  <si>
    <t>31.03 - 31.36</t>
  </si>
  <si>
    <t>4.43B</t>
  </si>
  <si>
    <t>30.45 x 1000</t>
  </si>
  <si>
    <t>30.60 x 100</t>
  </si>
  <si>
    <t>30.03 - 30.52</t>
  </si>
  <si>
    <t>56.07B</t>
  </si>
  <si>
    <t>0.36 (1.19%)</t>
  </si>
  <si>
    <t>57.60 - 59.00</t>
  </si>
  <si>
    <t>36.21B</t>
  </si>
  <si>
    <t>0.40 (0.69%)</t>
  </si>
  <si>
    <t>34.36 - 35.19</t>
  </si>
  <si>
    <t>16.94B</t>
  </si>
  <si>
    <t>56.63 - 57.34</t>
  </si>
  <si>
    <t>95.78B</t>
  </si>
  <si>
    <t>1.56 (2.74%)</t>
  </si>
  <si>
    <t>60.06 x 400</t>
  </si>
  <si>
    <t>65.00 x 1000</t>
  </si>
  <si>
    <t>63.13 - 63.55</t>
  </si>
  <si>
    <t>10.98B</t>
  </si>
  <si>
    <t>80.54 - 81.69</t>
  </si>
  <si>
    <t>85.96B</t>
  </si>
  <si>
    <t>16.12 - 16.50</t>
  </si>
  <si>
    <t>13.71B</t>
  </si>
  <si>
    <t>0.20 (1.24%)</t>
  </si>
  <si>
    <t>29.43 - 30.75</t>
  </si>
  <si>
    <t>27.80B</t>
  </si>
  <si>
    <t>0.48 (1.57%)</t>
  </si>
  <si>
    <t>12.53 - 12.71</t>
  </si>
  <si>
    <t>50.27B</t>
  </si>
  <si>
    <t>0.60 (4.74%)</t>
  </si>
  <si>
    <t>123.23 - 123.93</t>
  </si>
  <si>
    <t>336.77B</t>
  </si>
  <si>
    <t>3.20 (2.59%)</t>
  </si>
  <si>
    <t>11.71 - 11.92</t>
  </si>
  <si>
    <t>91.89 - 93.36</t>
  </si>
  <si>
    <t>19.64B</t>
  </si>
  <si>
    <t>56.51 - 57.65</t>
  </si>
  <si>
    <t>93.81B</t>
  </si>
  <si>
    <t>29.93 - 30.38</t>
  </si>
  <si>
    <t>10.58B</t>
  </si>
  <si>
    <t>0.60 (1.97%)</t>
  </si>
  <si>
    <t>15.88B</t>
  </si>
  <si>
    <t>50.05 - 50.45</t>
  </si>
  <si>
    <t>25.60 x 1500</t>
  </si>
  <si>
    <t>25.65 x 1100</t>
  </si>
  <si>
    <t>24.98 - 25.68</t>
  </si>
  <si>
    <t>9.35 - 25.68</t>
  </si>
  <si>
    <t>28.19B</t>
  </si>
  <si>
    <t>53.65 - 54.25</t>
  </si>
  <si>
    <t>37.77 - 58.86</t>
  </si>
  <si>
    <t>22.21B</t>
  </si>
  <si>
    <t>1.85 (3.44%)</t>
  </si>
  <si>
    <t>35.86 x 500</t>
  </si>
  <si>
    <t>35.94 x 1000</t>
  </si>
  <si>
    <t>35.67 - 36.08</t>
  </si>
  <si>
    <t>169.74B</t>
  </si>
  <si>
    <t>1.04 (2.90%)</t>
  </si>
  <si>
    <t>50.90 - 52.02</t>
  </si>
  <si>
    <t>16.15B</t>
  </si>
  <si>
    <t>1.00 (1.93%)</t>
  </si>
  <si>
    <t>120.83 - 122.51</t>
  </si>
  <si>
    <t>35.56B</t>
  </si>
  <si>
    <t>2.44 (2.00%)</t>
  </si>
  <si>
    <t>49.79 - 51.00</t>
  </si>
  <si>
    <t>11.39B</t>
  </si>
  <si>
    <t>235.23B</t>
  </si>
  <si>
    <t>237.73 - 238.61</t>
  </si>
  <si>
    <t>94.60 x 300</t>
  </si>
  <si>
    <t>95.09 x 100</t>
  </si>
  <si>
    <t>94.16 - 95.32</t>
  </si>
  <si>
    <t>17.55B</t>
  </si>
  <si>
    <t>70.81 - 72.04</t>
  </si>
  <si>
    <t>54.81B</t>
  </si>
  <si>
    <t>58.67 - 59.24</t>
  </si>
  <si>
    <t>43.55 - 59.99</t>
  </si>
  <si>
    <t>295.39B</t>
  </si>
  <si>
    <t>1.52 (2.59%)</t>
  </si>
  <si>
    <t>35.75 - 36.89</t>
  </si>
  <si>
    <t>6.69B</t>
  </si>
  <si>
    <t>23.17 - 23.72</t>
  </si>
  <si>
    <t>30.84 - 31.53</t>
  </si>
  <si>
    <t>7.21B</t>
  </si>
  <si>
    <t>1.20 (3.80%)</t>
  </si>
  <si>
    <t>57.09 - 58.28</t>
  </si>
  <si>
    <t>57.09 - 84.14</t>
  </si>
  <si>
    <t>32.21B</t>
  </si>
  <si>
    <t>2.40 (4.14%)</t>
  </si>
  <si>
    <t>49.06 - 49.44</t>
  </si>
  <si>
    <t>36.17 - 37.44</t>
  </si>
  <si>
    <t>5.91B</t>
  </si>
  <si>
    <t>81.40 - 82.00</t>
  </si>
  <si>
    <t>29.89B</t>
  </si>
  <si>
    <t>218.01 x 200</t>
  </si>
  <si>
    <t>218.55 x 300</t>
  </si>
  <si>
    <t>217.70 - 220.00</t>
  </si>
  <si>
    <t>139.18 - 224.98</t>
  </si>
  <si>
    <t>92.08B</t>
  </si>
  <si>
    <t>4.08 (1.88%)</t>
  </si>
  <si>
    <t>81.73 - 83.00</t>
  </si>
  <si>
    <t>26.14B</t>
  </si>
  <si>
    <t>1.80 (2.20%)</t>
  </si>
  <si>
    <t>49.72 - 50.64</t>
  </si>
  <si>
    <t>36.49B</t>
  </si>
  <si>
    <t>0.81 (1.62%)</t>
  </si>
  <si>
    <t>34.47 - 35.05</t>
  </si>
  <si>
    <t>35.37B</t>
  </si>
  <si>
    <t>1.36 (3.91%)</t>
  </si>
  <si>
    <t>110.04 - 111.50</t>
  </si>
  <si>
    <t>175.90B</t>
  </si>
  <si>
    <t>1.56 (1.41%)</t>
  </si>
  <si>
    <t>2.87 x 200</t>
  </si>
  <si>
    <t>2.90 x 2000</t>
  </si>
  <si>
    <t>2.81 - 2.90</t>
  </si>
  <si>
    <t>3.37B</t>
  </si>
  <si>
    <t>0.42 (14.95%)</t>
  </si>
  <si>
    <t>70.41 x 200</t>
  </si>
  <si>
    <t>70.98 x 200</t>
  </si>
  <si>
    <t>70.22 - 70.81</t>
  </si>
  <si>
    <t>92.67B</t>
  </si>
  <si>
    <t>70.15 - 71.44</t>
  </si>
  <si>
    <t>4.32B</t>
  </si>
  <si>
    <t>60.50 - 61.00</t>
  </si>
  <si>
    <t>35.22B</t>
  </si>
  <si>
    <t>1.92 (3.15%)</t>
  </si>
  <si>
    <t>37.58 - 38.37</t>
  </si>
  <si>
    <t>57.27B</t>
  </si>
  <si>
    <t>1.52 (4.03%)</t>
  </si>
  <si>
    <t>158.66 - 160.42</t>
  </si>
  <si>
    <t>63.27B</t>
  </si>
  <si>
    <t>44.55 - 45.33</t>
  </si>
  <si>
    <t>3.49B</t>
  </si>
  <si>
    <t>1.04 (2.34%)</t>
  </si>
  <si>
    <t>112.17 - 113.43</t>
  </si>
  <si>
    <t>95.05 - 114.44</t>
  </si>
  <si>
    <t>90.53B</t>
  </si>
  <si>
    <t>0.625 Dividend</t>
  </si>
  <si>
    <t>166.62 - 168.45</t>
  </si>
  <si>
    <t>120.41 - 168.60</t>
  </si>
  <si>
    <t>159.99B</t>
  </si>
  <si>
    <t>2.50 (1.49%)</t>
  </si>
  <si>
    <t>73.44 - 75.99</t>
  </si>
  <si>
    <t>23.78B</t>
  </si>
  <si>
    <t>40,    0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</si>
</sst>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1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0" fontId="3" fillId="24" borderId="0" xfId="0" applyFont="1" applyFill="1"/>
    <xf numFmtId="14" fontId="3" fillId="24" borderId="0" xfId="0" applyNumberFormat="1" applyFont="1" applyFill="1"/>
    <xf numFmtId="2" fontId="3" fillId="24" borderId="0" xfId="0" applyNumberFormat="1" applyFont="1" applyFill="1"/>
    <xf numFmtId="0" fontId="1" fillId="24" borderId="0" xfId="0" applyFont="1" applyFill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14" fontId="0" fillId="24" borderId="1" xfId="0" applyNumberFormat="1" applyFill="1" applyBorder="1"/>
    <xf numFmtId="0" fontId="0" fillId="24" borderId="1" xfId="0" applyFill="1" applyBorder="1"/>
    <xf numFmtId="2" fontId="0" fillId="24" borderId="1" xfId="0" applyNumberFormat="1" applyFill="1" applyBorder="1"/>
    <xf numFmtId="0" fontId="3" fillId="24" borderId="9" xfId="0" applyFont="1" applyFill="1" applyBorder="1"/>
    <xf numFmtId="14" fontId="0" fillId="24" borderId="9" xfId="0" applyNumberForma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0" fontId="3" fillId="26" borderId="0" xfId="0" applyFont="1" applyFill="1"/>
    <xf numFmtId="0" fontId="0" fillId="26" borderId="0" xfId="0" applyFill="1"/>
    <xf numFmtId="10" fontId="0" fillId="26" borderId="0" xfId="3" applyNumberFormat="1" applyFont="1" applyFill="1"/>
    <xf numFmtId="14" fontId="0" fillId="26" borderId="0" xfId="0" applyNumberFormat="1" applyFill="1"/>
    <xf numFmtId="2" fontId="36" fillId="12" borderId="7" xfId="0" applyNumberFormat="1" applyFont="1" applyFill="1" applyBorder="1" applyAlignment="1">
      <alignment horizontal="right"/>
    </xf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7" borderId="0" xfId="0" applyNumberFormat="1" applyFill="1"/>
    <xf numFmtId="16" fontId="0" fillId="27" borderId="0" xfId="0" applyNumberFormat="1" applyFill="1"/>
    <xf numFmtId="0" fontId="0" fillId="27" borderId="0" xfId="0" applyFill="1"/>
    <xf numFmtId="168" fontId="0" fillId="27" borderId="0" xfId="0" applyNumberFormat="1" applyFill="1"/>
    <xf numFmtId="10" fontId="0" fillId="27" borderId="0" xfId="0" applyNumberFormat="1" applyFill="1"/>
    <xf numFmtId="2" fontId="14" fillId="27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7" borderId="0" xfId="0" applyNumberFormat="1" applyFill="1"/>
    <xf numFmtId="0" fontId="22" fillId="6" borderId="0" xfId="0" applyFont="1" applyFill="1"/>
    <xf numFmtId="2" fontId="22" fillId="6" borderId="0" xfId="0" applyNumberFormat="1" applyFont="1" applyFill="1"/>
    <xf numFmtId="2" fontId="22" fillId="6" borderId="0" xfId="0" applyNumberFormat="1" applyFont="1" applyFill="1" applyAlignment="1">
      <alignment horizontal="center"/>
    </xf>
    <xf numFmtId="2" fontId="22" fillId="6" borderId="0" xfId="0" applyNumberFormat="1" applyFont="1" applyFill="1" applyAlignment="1">
      <alignment horizontal="right"/>
    </xf>
    <xf numFmtId="0" fontId="22" fillId="6" borderId="0" xfId="0" applyFont="1" applyFill="1" applyAlignment="1">
      <alignment horizontal="right"/>
    </xf>
    <xf numFmtId="16" fontId="0" fillId="6" borderId="0" xfId="0" applyNumberFormat="1" applyFill="1"/>
    <xf numFmtId="166" fontId="0" fillId="6" borderId="0" xfId="0" applyNumberFormat="1" applyFill="1"/>
    <xf numFmtId="10" fontId="0" fillId="6" borderId="0" xfId="0" applyNumberFormat="1" applyFill="1" applyAlignment="1">
      <alignment horizontal="right"/>
    </xf>
    <xf numFmtId="14" fontId="0" fillId="22" borderId="0" xfId="0" applyNumberFormat="1" applyFill="1"/>
    <xf numFmtId="14" fontId="0" fillId="27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0" fontId="0" fillId="5" borderId="0" xfId="0" applyFill="1" applyAlignment="1">
      <alignment horizontal="center" wrapText="1"/>
    </xf>
    <xf numFmtId="16" fontId="0" fillId="5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21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217"/>
      <tableStyleElement type="headerRow" dxfId="1216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e">
        <v>#N/A</v>
        <stp/>
        <stp>##V3_BDHV12</stp>
        <stp>UREH7 Equity</stp>
        <stp>LAST_PRICE_x0002_VOLUME_x0002__x0002__x0002_</stp>
        <stp>10/1/2016</stp>
        <stp/>
        <stp>[trading.xlsm]CF!R2C35</stp>
        <stp>Dir=V</stp>
        <stp>Dts=S</stp>
        <stp>Sort=D</stp>
        <stp>Quote=C</stp>
        <stp>QtTyp=Y</stp>
        <stp>Days=T</stp>
        <stp>Per=cd</stp>
        <stp>DtFmt=D</stp>
        <stp>UseDPDF=Y</stp>
        <stp>cols=3;rows=100</stp>
        <tr r="AI2" s="61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319727.84000000003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963304"/>
        <c:axId val="514963696"/>
      </c:scatterChart>
      <c:valAx>
        <c:axId val="51496330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63696"/>
        <c:crosses val="autoZero"/>
        <c:crossBetween val="midCat"/>
      </c:valAx>
      <c:valAx>
        <c:axId val="51496369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63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19727.840000000026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964480"/>
        <c:axId val="514964872"/>
      </c:scatterChart>
      <c:valAx>
        <c:axId val="51496448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64872"/>
        <c:crosses val="autoZero"/>
        <c:crossBetween val="midCat"/>
      </c:valAx>
      <c:valAx>
        <c:axId val="51496487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64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965656"/>
        <c:axId val="514966048"/>
      </c:scatterChart>
      <c:valAx>
        <c:axId val="51496565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66048"/>
        <c:crosses val="autoZero"/>
        <c:crossBetween val="midCat"/>
      </c:valAx>
      <c:valAx>
        <c:axId val="51496604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65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966832"/>
        <c:axId val="514967224"/>
      </c:scatterChart>
      <c:valAx>
        <c:axId val="51496683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67224"/>
        <c:crosses val="autoZero"/>
        <c:crossBetween val="midCat"/>
      </c:valAx>
      <c:valAx>
        <c:axId val="51496722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6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0.33974852992336052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968008"/>
        <c:axId val="514968400"/>
      </c:scatterChart>
      <c:valAx>
        <c:axId val="51496800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68400"/>
        <c:crosses val="autoZero"/>
        <c:crossBetween val="midCat"/>
      </c:valAx>
      <c:valAx>
        <c:axId val="51496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68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0.19355335159654871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969576"/>
        <c:axId val="514969968"/>
      </c:scatterChart>
      <c:valAx>
        <c:axId val="51496957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69968"/>
        <c:crosses val="autoZero"/>
        <c:crossBetween val="midCat"/>
      </c:valAx>
      <c:valAx>
        <c:axId val="51496996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69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50448.540000000037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969184"/>
        <c:axId val="514970752"/>
      </c:scatterChart>
      <c:valAx>
        <c:axId val="51496918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70752"/>
        <c:crosses val="autoZero"/>
        <c:crossBetween val="midCat"/>
      </c:valAx>
      <c:valAx>
        <c:axId val="514970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6918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297.85000000000002</c:v>
                </c:pt>
                <c:pt idx="1">
                  <c:v>293.58999999999997</c:v>
                </c:pt>
                <c:pt idx="2">
                  <c:v>293.26</c:v>
                </c:pt>
                <c:pt idx="3">
                  <c:v>288.60000000000002</c:v>
                </c:pt>
                <c:pt idx="4">
                  <c:v>291.13</c:v>
                </c:pt>
                <c:pt idx="5">
                  <c:v>285.13</c:v>
                </c:pt>
                <c:pt idx="6">
                  <c:v>284.75</c:v>
                </c:pt>
                <c:pt idx="7">
                  <c:v>287.63</c:v>
                </c:pt>
                <c:pt idx="8">
                  <c:v>286.89999999999998</c:v>
                </c:pt>
                <c:pt idx="9">
                  <c:v>288.94</c:v>
                </c:pt>
                <c:pt idx="10">
                  <c:v>290.13</c:v>
                </c:pt>
                <c:pt idx="11">
                  <c:v>292.64</c:v>
                </c:pt>
                <c:pt idx="12">
                  <c:v>285.14</c:v>
                </c:pt>
                <c:pt idx="13">
                  <c:v>278.91000000000003</c:v>
                </c:pt>
                <c:pt idx="14">
                  <c:v>274.76</c:v>
                </c:pt>
                <c:pt idx="15">
                  <c:v>270.44</c:v>
                </c:pt>
                <c:pt idx="16">
                  <c:v>268.74</c:v>
                </c:pt>
                <c:pt idx="17">
                  <c:v>266.11</c:v>
                </c:pt>
                <c:pt idx="18">
                  <c:v>264.91000000000003</c:v>
                </c:pt>
                <c:pt idx="19">
                  <c:v>264.67</c:v>
                </c:pt>
                <c:pt idx="20">
                  <c:v>264.23</c:v>
                </c:pt>
                <c:pt idx="21">
                  <c:v>281.69</c:v>
                </c:pt>
                <c:pt idx="22">
                  <c:v>277.24</c:v>
                </c:pt>
                <c:pt idx="23">
                  <c:v>276.06</c:v>
                </c:pt>
                <c:pt idx="24">
                  <c:v>278.20999999999998</c:v>
                </c:pt>
                <c:pt idx="25">
                  <c:v>278.89</c:v>
                </c:pt>
                <c:pt idx="26">
                  <c:v>273.24</c:v>
                </c:pt>
                <c:pt idx="27">
                  <c:v>273.82</c:v>
                </c:pt>
                <c:pt idx="28">
                  <c:v>276.02</c:v>
                </c:pt>
                <c:pt idx="29">
                  <c:v>280.66000000000003</c:v>
                </c:pt>
                <c:pt idx="30">
                  <c:v>280.35000000000002</c:v>
                </c:pt>
                <c:pt idx="31">
                  <c:v>283.61</c:v>
                </c:pt>
                <c:pt idx="32">
                  <c:v>283.01</c:v>
                </c:pt>
                <c:pt idx="33">
                  <c:v>284.75</c:v>
                </c:pt>
                <c:pt idx="34">
                  <c:v>287.77</c:v>
                </c:pt>
                <c:pt idx="35">
                  <c:v>287.11</c:v>
                </c:pt>
                <c:pt idx="36">
                  <c:v>297.79000000000002</c:v>
                </c:pt>
                <c:pt idx="37">
                  <c:v>299.02</c:v>
                </c:pt>
                <c:pt idx="38">
                  <c:v>295</c:v>
                </c:pt>
                <c:pt idx="39">
                  <c:v>293.57</c:v>
                </c:pt>
                <c:pt idx="40">
                  <c:v>294.05</c:v>
                </c:pt>
                <c:pt idx="41">
                  <c:v>291.70999999999998</c:v>
                </c:pt>
                <c:pt idx="42">
                  <c:v>283.58</c:v>
                </c:pt>
                <c:pt idx="43">
                  <c:v>287.02999999999997</c:v>
                </c:pt>
                <c:pt idx="44">
                  <c:v>289.25</c:v>
                </c:pt>
                <c:pt idx="45">
                  <c:v>291.12</c:v>
                </c:pt>
                <c:pt idx="46">
                  <c:v>287.52999999999997</c:v>
                </c:pt>
                <c:pt idx="47">
                  <c:v>283.07</c:v>
                </c:pt>
                <c:pt idx="48">
                  <c:v>283.11</c:v>
                </c:pt>
                <c:pt idx="49">
                  <c:v>285.58999999999997</c:v>
                </c:pt>
                <c:pt idx="50">
                  <c:v>278.77</c:v>
                </c:pt>
                <c:pt idx="51">
                  <c:v>286.39999999999998</c:v>
                </c:pt>
                <c:pt idx="52">
                  <c:v>286.97000000000003</c:v>
                </c:pt>
                <c:pt idx="53">
                  <c:v>286.25</c:v>
                </c:pt>
                <c:pt idx="54">
                  <c:v>287.38</c:v>
                </c:pt>
                <c:pt idx="55">
                  <c:v>286.49</c:v>
                </c:pt>
                <c:pt idx="56">
                  <c:v>287.77</c:v>
                </c:pt>
                <c:pt idx="57">
                  <c:v>289.54000000000002</c:v>
                </c:pt>
                <c:pt idx="58">
                  <c:v>285.3</c:v>
                </c:pt>
                <c:pt idx="59">
                  <c:v>291.16000000000003</c:v>
                </c:pt>
                <c:pt idx="60">
                  <c:v>290.22000000000003</c:v>
                </c:pt>
                <c:pt idx="61">
                  <c:v>297.19</c:v>
                </c:pt>
                <c:pt idx="62">
                  <c:v>295.77999999999997</c:v>
                </c:pt>
                <c:pt idx="63">
                  <c:v>294.07</c:v>
                </c:pt>
                <c:pt idx="64">
                  <c:v>302.77</c:v>
                </c:pt>
                <c:pt idx="65">
                  <c:v>303.77999999999997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972712"/>
        <c:axId val="514973104"/>
      </c:lineChart>
      <c:dateAx>
        <c:axId val="514972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73104"/>
        <c:crosses val="autoZero"/>
        <c:auto val="1"/>
        <c:lblOffset val="100"/>
        <c:baseTimeUnit val="days"/>
      </c:dateAx>
      <c:valAx>
        <c:axId val="51497310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72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45.18</c:v>
                </c:pt>
                <c:pt idx="1">
                  <c:v>45.28</c:v>
                </c:pt>
                <c:pt idx="2">
                  <c:v>44.87</c:v>
                </c:pt>
                <c:pt idx="3">
                  <c:v>41.85</c:v>
                </c:pt>
                <c:pt idx="4">
                  <c:v>42.44</c:v>
                </c:pt>
                <c:pt idx="5">
                  <c:v>42.16</c:v>
                </c:pt>
                <c:pt idx="6">
                  <c:v>42.33</c:v>
                </c:pt>
                <c:pt idx="7">
                  <c:v>42</c:v>
                </c:pt>
                <c:pt idx="8">
                  <c:v>42.3</c:v>
                </c:pt>
                <c:pt idx="9">
                  <c:v>42.05</c:v>
                </c:pt>
                <c:pt idx="10">
                  <c:v>42</c:v>
                </c:pt>
                <c:pt idx="11">
                  <c:v>42.44</c:v>
                </c:pt>
                <c:pt idx="12">
                  <c:v>40.75</c:v>
                </c:pt>
                <c:pt idx="13">
                  <c:v>39.78</c:v>
                </c:pt>
                <c:pt idx="14">
                  <c:v>39.31</c:v>
                </c:pt>
                <c:pt idx="15">
                  <c:v>39.299999999999997</c:v>
                </c:pt>
                <c:pt idx="16">
                  <c:v>39.19</c:v>
                </c:pt>
                <c:pt idx="17">
                  <c:v>39.39</c:v>
                </c:pt>
                <c:pt idx="18">
                  <c:v>39.979999999999997</c:v>
                </c:pt>
                <c:pt idx="19">
                  <c:v>39.21</c:v>
                </c:pt>
                <c:pt idx="20">
                  <c:v>39</c:v>
                </c:pt>
                <c:pt idx="21">
                  <c:v>38.659999999999997</c:v>
                </c:pt>
                <c:pt idx="22">
                  <c:v>38.049999999999997</c:v>
                </c:pt>
                <c:pt idx="23">
                  <c:v>36.340000000000003</c:v>
                </c:pt>
                <c:pt idx="24">
                  <c:v>36.659999999999997</c:v>
                </c:pt>
                <c:pt idx="25">
                  <c:v>36.1</c:v>
                </c:pt>
                <c:pt idx="26">
                  <c:v>36.479999999999997</c:v>
                </c:pt>
                <c:pt idx="27">
                  <c:v>35.81</c:v>
                </c:pt>
                <c:pt idx="28">
                  <c:v>36.03</c:v>
                </c:pt>
                <c:pt idx="29">
                  <c:v>37.07</c:v>
                </c:pt>
                <c:pt idx="30">
                  <c:v>36.950000000000003</c:v>
                </c:pt>
                <c:pt idx="31">
                  <c:v>37.19</c:v>
                </c:pt>
                <c:pt idx="32">
                  <c:v>37.07</c:v>
                </c:pt>
                <c:pt idx="33">
                  <c:v>36.729999999999997</c:v>
                </c:pt>
                <c:pt idx="34">
                  <c:v>36.770000000000003</c:v>
                </c:pt>
                <c:pt idx="35">
                  <c:v>37.28</c:v>
                </c:pt>
                <c:pt idx="36">
                  <c:v>38.950000000000003</c:v>
                </c:pt>
                <c:pt idx="37">
                  <c:v>38.950000000000003</c:v>
                </c:pt>
                <c:pt idx="38">
                  <c:v>38.5</c:v>
                </c:pt>
                <c:pt idx="39">
                  <c:v>39.159999999999997</c:v>
                </c:pt>
                <c:pt idx="40">
                  <c:v>39.630000000000003</c:v>
                </c:pt>
                <c:pt idx="41">
                  <c:v>39.11</c:v>
                </c:pt>
                <c:pt idx="42">
                  <c:v>38.15</c:v>
                </c:pt>
                <c:pt idx="43">
                  <c:v>37.380000000000003</c:v>
                </c:pt>
                <c:pt idx="44">
                  <c:v>37.21</c:v>
                </c:pt>
                <c:pt idx="45">
                  <c:v>37.58</c:v>
                </c:pt>
                <c:pt idx="46">
                  <c:v>37.5</c:v>
                </c:pt>
                <c:pt idx="47">
                  <c:v>37.31</c:v>
                </c:pt>
                <c:pt idx="48">
                  <c:v>37.520000000000003</c:v>
                </c:pt>
                <c:pt idx="49">
                  <c:v>37.29</c:v>
                </c:pt>
                <c:pt idx="50">
                  <c:v>37.49</c:v>
                </c:pt>
                <c:pt idx="51">
                  <c:v>37.82</c:v>
                </c:pt>
                <c:pt idx="52">
                  <c:v>37.76</c:v>
                </c:pt>
                <c:pt idx="53">
                  <c:v>37.69</c:v>
                </c:pt>
                <c:pt idx="54">
                  <c:v>38.299999999999997</c:v>
                </c:pt>
                <c:pt idx="55">
                  <c:v>37.130000000000003</c:v>
                </c:pt>
                <c:pt idx="56">
                  <c:v>36.51</c:v>
                </c:pt>
                <c:pt idx="57">
                  <c:v>36.06</c:v>
                </c:pt>
                <c:pt idx="58">
                  <c:v>34.5</c:v>
                </c:pt>
                <c:pt idx="59">
                  <c:v>35.86</c:v>
                </c:pt>
                <c:pt idx="60">
                  <c:v>35.65</c:v>
                </c:pt>
                <c:pt idx="61">
                  <c:v>35.99</c:v>
                </c:pt>
                <c:pt idx="62">
                  <c:v>36.03</c:v>
                </c:pt>
                <c:pt idx="63">
                  <c:v>36.61</c:v>
                </c:pt>
                <c:pt idx="64">
                  <c:v>36.06</c:v>
                </c:pt>
                <c:pt idx="65">
                  <c:v>36.74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975064"/>
        <c:axId val="514975456"/>
      </c:lineChart>
      <c:dateAx>
        <c:axId val="514975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75456"/>
        <c:crosses val="autoZero"/>
        <c:auto val="1"/>
        <c:lblOffset val="100"/>
        <c:baseTimeUnit val="days"/>
      </c:dateAx>
      <c:valAx>
        <c:axId val="51497545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75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64.58</c:v>
                </c:pt>
                <c:pt idx="1">
                  <c:v>65.959999999999994</c:v>
                </c:pt>
                <c:pt idx="2">
                  <c:v>64.88</c:v>
                </c:pt>
                <c:pt idx="3">
                  <c:v>63.59</c:v>
                </c:pt>
                <c:pt idx="4">
                  <c:v>72.88</c:v>
                </c:pt>
                <c:pt idx="5">
                  <c:v>73.8</c:v>
                </c:pt>
                <c:pt idx="6">
                  <c:v>72.38</c:v>
                </c:pt>
                <c:pt idx="7">
                  <c:v>73.61</c:v>
                </c:pt>
                <c:pt idx="8">
                  <c:v>74.489999999999995</c:v>
                </c:pt>
                <c:pt idx="9">
                  <c:v>73.91</c:v>
                </c:pt>
                <c:pt idx="10">
                  <c:v>73.48</c:v>
                </c:pt>
                <c:pt idx="11">
                  <c:v>75.45</c:v>
                </c:pt>
                <c:pt idx="12">
                  <c:v>74.62</c:v>
                </c:pt>
                <c:pt idx="13">
                  <c:v>73.099999999999994</c:v>
                </c:pt>
                <c:pt idx="14">
                  <c:v>72.89</c:v>
                </c:pt>
                <c:pt idx="15">
                  <c:v>73.62</c:v>
                </c:pt>
                <c:pt idx="16">
                  <c:v>72.45</c:v>
                </c:pt>
                <c:pt idx="17">
                  <c:v>71.95</c:v>
                </c:pt>
                <c:pt idx="18">
                  <c:v>74.06</c:v>
                </c:pt>
                <c:pt idx="19">
                  <c:v>76.3</c:v>
                </c:pt>
                <c:pt idx="20">
                  <c:v>76.12</c:v>
                </c:pt>
                <c:pt idx="21">
                  <c:v>77.010000000000005</c:v>
                </c:pt>
                <c:pt idx="22">
                  <c:v>77.67</c:v>
                </c:pt>
                <c:pt idx="23">
                  <c:v>79.16</c:v>
                </c:pt>
                <c:pt idx="24">
                  <c:v>79.989999999999995</c:v>
                </c:pt>
                <c:pt idx="25">
                  <c:v>81.95</c:v>
                </c:pt>
                <c:pt idx="26">
                  <c:v>82.98</c:v>
                </c:pt>
                <c:pt idx="28">
                  <c:v>82.73</c:v>
                </c:pt>
                <c:pt idx="29">
                  <c:v>80.91</c:v>
                </c:pt>
                <c:pt idx="30">
                  <c:v>80.72</c:v>
                </c:pt>
                <c:pt idx="31">
                  <c:v>80.77</c:v>
                </c:pt>
                <c:pt idx="32">
                  <c:v>82.03</c:v>
                </c:pt>
                <c:pt idx="33">
                  <c:v>81.150000000000006</c:v>
                </c:pt>
                <c:pt idx="34">
                  <c:v>80.78</c:v>
                </c:pt>
                <c:pt idx="35">
                  <c:v>84.36</c:v>
                </c:pt>
                <c:pt idx="36">
                  <c:v>84.7</c:v>
                </c:pt>
                <c:pt idx="37">
                  <c:v>87.46</c:v>
                </c:pt>
                <c:pt idx="38">
                  <c:v>86.12</c:v>
                </c:pt>
                <c:pt idx="39">
                  <c:v>88.22</c:v>
                </c:pt>
                <c:pt idx="40">
                  <c:v>87.97</c:v>
                </c:pt>
                <c:pt idx="41">
                  <c:v>95.63</c:v>
                </c:pt>
                <c:pt idx="42">
                  <c:v>94.94</c:v>
                </c:pt>
                <c:pt idx="43">
                  <c:v>94.26</c:v>
                </c:pt>
                <c:pt idx="44">
                  <c:v>93.95</c:v>
                </c:pt>
                <c:pt idx="45">
                  <c:v>93.7</c:v>
                </c:pt>
                <c:pt idx="46">
                  <c:v>93.71</c:v>
                </c:pt>
                <c:pt idx="47">
                  <c:v>93.21</c:v>
                </c:pt>
                <c:pt idx="48">
                  <c:v>93.4</c:v>
                </c:pt>
                <c:pt idx="49">
                  <c:v>94.76</c:v>
                </c:pt>
                <c:pt idx="50">
                  <c:v>95.18</c:v>
                </c:pt>
                <c:pt idx="51">
                  <c:v>94.41</c:v>
                </c:pt>
                <c:pt idx="52">
                  <c:v>94.07</c:v>
                </c:pt>
                <c:pt idx="53">
                  <c:v>95.02</c:v>
                </c:pt>
                <c:pt idx="54">
                  <c:v>94.97</c:v>
                </c:pt>
                <c:pt idx="55">
                  <c:v>96.17</c:v>
                </c:pt>
                <c:pt idx="56">
                  <c:v>96.39</c:v>
                </c:pt>
                <c:pt idx="57">
                  <c:v>98.72</c:v>
                </c:pt>
                <c:pt idx="58">
                  <c:v>98.05</c:v>
                </c:pt>
                <c:pt idx="59">
                  <c:v>95.29</c:v>
                </c:pt>
                <c:pt idx="60">
                  <c:v>93.98</c:v>
                </c:pt>
                <c:pt idx="61">
                  <c:v>93.64</c:v>
                </c:pt>
                <c:pt idx="62">
                  <c:v>92.07</c:v>
                </c:pt>
                <c:pt idx="63">
                  <c:v>91.25</c:v>
                </c:pt>
                <c:pt idx="64">
                  <c:v>91.29</c:v>
                </c:pt>
                <c:pt idx="65">
                  <c:v>91.82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360712"/>
        <c:axId val="645361104"/>
      </c:lineChart>
      <c:dateAx>
        <c:axId val="645360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361104"/>
        <c:crosses val="autoZero"/>
        <c:auto val="1"/>
        <c:lblOffset val="100"/>
        <c:baseTimeUnit val="days"/>
      </c:dateAx>
      <c:valAx>
        <c:axId val="6453611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360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139.78</c:v>
                </c:pt>
                <c:pt idx="1">
                  <c:v>138.96</c:v>
                </c:pt>
                <c:pt idx="2">
                  <c:v>139.79</c:v>
                </c:pt>
                <c:pt idx="3">
                  <c:v>136.99</c:v>
                </c:pt>
                <c:pt idx="4">
                  <c:v>136.93</c:v>
                </c:pt>
                <c:pt idx="5">
                  <c:v>136.66</c:v>
                </c:pt>
                <c:pt idx="6">
                  <c:v>136.53</c:v>
                </c:pt>
                <c:pt idx="7">
                  <c:v>137.11000000000001</c:v>
                </c:pt>
                <c:pt idx="8">
                  <c:v>136.69999999999999</c:v>
                </c:pt>
                <c:pt idx="9">
                  <c:v>135.72</c:v>
                </c:pt>
                <c:pt idx="10">
                  <c:v>135.35</c:v>
                </c:pt>
                <c:pt idx="11">
                  <c:v>135.51</c:v>
                </c:pt>
                <c:pt idx="12">
                  <c:v>135.02000000000001</c:v>
                </c:pt>
                <c:pt idx="13">
                  <c:v>133.29</c:v>
                </c:pt>
                <c:pt idx="14">
                  <c:v>132.12</c:v>
                </c:pt>
                <c:pt idx="15">
                  <c:v>132.41999999999999</c:v>
                </c:pt>
                <c:pt idx="17">
                  <c:v>132.04</c:v>
                </c:pt>
                <c:pt idx="18">
                  <c:v>131.53</c:v>
                </c:pt>
                <c:pt idx="19">
                  <c:v>130.29</c:v>
                </c:pt>
                <c:pt idx="20">
                  <c:v>129.08000000000001</c:v>
                </c:pt>
                <c:pt idx="21">
                  <c:v>128.53</c:v>
                </c:pt>
                <c:pt idx="22">
                  <c:v>128.75</c:v>
                </c:pt>
                <c:pt idx="23">
                  <c:v>121.35</c:v>
                </c:pt>
                <c:pt idx="24">
                  <c:v>121.63</c:v>
                </c:pt>
                <c:pt idx="25">
                  <c:v>121.95</c:v>
                </c:pt>
                <c:pt idx="26">
                  <c:v>121.94</c:v>
                </c:pt>
                <c:pt idx="27">
                  <c:v>121.88</c:v>
                </c:pt>
                <c:pt idx="28">
                  <c:v>119.97</c:v>
                </c:pt>
                <c:pt idx="29">
                  <c:v>120.08</c:v>
                </c:pt>
                <c:pt idx="30">
                  <c:v>120</c:v>
                </c:pt>
                <c:pt idx="31">
                  <c:v>119.78</c:v>
                </c:pt>
                <c:pt idx="32">
                  <c:v>119.99</c:v>
                </c:pt>
                <c:pt idx="33">
                  <c:v>120</c:v>
                </c:pt>
                <c:pt idx="34">
                  <c:v>119.04</c:v>
                </c:pt>
                <c:pt idx="35">
                  <c:v>119.25</c:v>
                </c:pt>
                <c:pt idx="36">
                  <c:v>119.75</c:v>
                </c:pt>
                <c:pt idx="37">
                  <c:v>119.11</c:v>
                </c:pt>
                <c:pt idx="38">
                  <c:v>118.99</c:v>
                </c:pt>
                <c:pt idx="39">
                  <c:v>117.91</c:v>
                </c:pt>
                <c:pt idx="40">
                  <c:v>116.61</c:v>
                </c:pt>
                <c:pt idx="41">
                  <c:v>116.02</c:v>
                </c:pt>
                <c:pt idx="42">
                  <c:v>116.15</c:v>
                </c:pt>
                <c:pt idx="43">
                  <c:v>115.82</c:v>
                </c:pt>
                <c:pt idx="44">
                  <c:v>116.73</c:v>
                </c:pt>
                <c:pt idx="45">
                  <c:v>116.76</c:v>
                </c:pt>
                <c:pt idx="46">
                  <c:v>117.26</c:v>
                </c:pt>
                <c:pt idx="47">
                  <c:v>116.52</c:v>
                </c:pt>
                <c:pt idx="48">
                  <c:v>116.29</c:v>
                </c:pt>
                <c:pt idx="49">
                  <c:v>117.06</c:v>
                </c:pt>
                <c:pt idx="50">
                  <c:v>116.95</c:v>
                </c:pt>
                <c:pt idx="51">
                  <c:v>116.64</c:v>
                </c:pt>
                <c:pt idx="52">
                  <c:v>115.97</c:v>
                </c:pt>
                <c:pt idx="53">
                  <c:v>115.82</c:v>
                </c:pt>
                <c:pt idx="54">
                  <c:v>115.19</c:v>
                </c:pt>
                <c:pt idx="55">
                  <c:v>115.19</c:v>
                </c:pt>
                <c:pt idx="56">
                  <c:v>113.3</c:v>
                </c:pt>
                <c:pt idx="57">
                  <c:v>113.95</c:v>
                </c:pt>
                <c:pt idx="58">
                  <c:v>112.12</c:v>
                </c:pt>
                <c:pt idx="59">
                  <c:v>111.03</c:v>
                </c:pt>
                <c:pt idx="60">
                  <c:v>109.95</c:v>
                </c:pt>
                <c:pt idx="61">
                  <c:v>109.11</c:v>
                </c:pt>
                <c:pt idx="62">
                  <c:v>109.9</c:v>
                </c:pt>
                <c:pt idx="63">
                  <c:v>109.49</c:v>
                </c:pt>
                <c:pt idx="64">
                  <c:v>110.52</c:v>
                </c:pt>
                <c:pt idx="65">
                  <c:v>111.46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363064"/>
        <c:axId val="645363456"/>
      </c:lineChart>
      <c:dateAx>
        <c:axId val="645363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363456"/>
        <c:crosses val="autoZero"/>
        <c:auto val="1"/>
        <c:lblOffset val="100"/>
        <c:baseTimeUnit val="days"/>
      </c:dateAx>
      <c:valAx>
        <c:axId val="64536345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363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79.88</c:v>
                </c:pt>
                <c:pt idx="1">
                  <c:v>80.099999999999994</c:v>
                </c:pt>
                <c:pt idx="2">
                  <c:v>81.92</c:v>
                </c:pt>
                <c:pt idx="3">
                  <c:v>80.06</c:v>
                </c:pt>
                <c:pt idx="4">
                  <c:v>80.17</c:v>
                </c:pt>
                <c:pt idx="5">
                  <c:v>79.760000000000005</c:v>
                </c:pt>
                <c:pt idx="6">
                  <c:v>80.05</c:v>
                </c:pt>
                <c:pt idx="7">
                  <c:v>79.86</c:v>
                </c:pt>
                <c:pt idx="8">
                  <c:v>79.97</c:v>
                </c:pt>
                <c:pt idx="9">
                  <c:v>79.709999999999994</c:v>
                </c:pt>
                <c:pt idx="10">
                  <c:v>79.510000000000005</c:v>
                </c:pt>
                <c:pt idx="11">
                  <c:v>79.599999999999994</c:v>
                </c:pt>
                <c:pt idx="12">
                  <c:v>79.41</c:v>
                </c:pt>
                <c:pt idx="13">
                  <c:v>78.91</c:v>
                </c:pt>
                <c:pt idx="14">
                  <c:v>78.48</c:v>
                </c:pt>
                <c:pt idx="15">
                  <c:v>78.180000000000007</c:v>
                </c:pt>
                <c:pt idx="16">
                  <c:v>77.8</c:v>
                </c:pt>
                <c:pt idx="17">
                  <c:v>77.72</c:v>
                </c:pt>
                <c:pt idx="18">
                  <c:v>77.819999999999993</c:v>
                </c:pt>
                <c:pt idx="19">
                  <c:v>78.040000000000006</c:v>
                </c:pt>
                <c:pt idx="20">
                  <c:v>76.510000000000005</c:v>
                </c:pt>
                <c:pt idx="21">
                  <c:v>76.760000000000005</c:v>
                </c:pt>
                <c:pt idx="22">
                  <c:v>76.38</c:v>
                </c:pt>
                <c:pt idx="23">
                  <c:v>77.28</c:v>
                </c:pt>
                <c:pt idx="24">
                  <c:v>76.849999999999994</c:v>
                </c:pt>
                <c:pt idx="25">
                  <c:v>76.930000000000007</c:v>
                </c:pt>
                <c:pt idx="26">
                  <c:v>76.89</c:v>
                </c:pt>
                <c:pt idx="27">
                  <c:v>77.430000000000007</c:v>
                </c:pt>
                <c:pt idx="28">
                  <c:v>75.97</c:v>
                </c:pt>
                <c:pt idx="29">
                  <c:v>76.2</c:v>
                </c:pt>
                <c:pt idx="30">
                  <c:v>76.69</c:v>
                </c:pt>
                <c:pt idx="31">
                  <c:v>77.489999999999995</c:v>
                </c:pt>
                <c:pt idx="32">
                  <c:v>76.599999999999994</c:v>
                </c:pt>
                <c:pt idx="33">
                  <c:v>76.62</c:v>
                </c:pt>
                <c:pt idx="34">
                  <c:v>76.88</c:v>
                </c:pt>
                <c:pt idx="35">
                  <c:v>76.91</c:v>
                </c:pt>
                <c:pt idx="36">
                  <c:v>76.650000000000006</c:v>
                </c:pt>
                <c:pt idx="37">
                  <c:v>75.86</c:v>
                </c:pt>
                <c:pt idx="38">
                  <c:v>75.47</c:v>
                </c:pt>
                <c:pt idx="39">
                  <c:v>75.319999999999993</c:v>
                </c:pt>
                <c:pt idx="40">
                  <c:v>76.260000000000005</c:v>
                </c:pt>
                <c:pt idx="42">
                  <c:v>75.349999999999994</c:v>
                </c:pt>
                <c:pt idx="43">
                  <c:v>74.08</c:v>
                </c:pt>
                <c:pt idx="44">
                  <c:v>73.92</c:v>
                </c:pt>
                <c:pt idx="45">
                  <c:v>74.37</c:v>
                </c:pt>
                <c:pt idx="46">
                  <c:v>74.98</c:v>
                </c:pt>
                <c:pt idx="47">
                  <c:v>74.97</c:v>
                </c:pt>
                <c:pt idx="48">
                  <c:v>74.58</c:v>
                </c:pt>
                <c:pt idx="49">
                  <c:v>75.319999999999993</c:v>
                </c:pt>
                <c:pt idx="50">
                  <c:v>75.06</c:v>
                </c:pt>
                <c:pt idx="51">
                  <c:v>74.55</c:v>
                </c:pt>
                <c:pt idx="52">
                  <c:v>75</c:v>
                </c:pt>
                <c:pt idx="53">
                  <c:v>74.94</c:v>
                </c:pt>
                <c:pt idx="54">
                  <c:v>74.069999999999993</c:v>
                </c:pt>
                <c:pt idx="55">
                  <c:v>73.84</c:v>
                </c:pt>
                <c:pt idx="56">
                  <c:v>73.58</c:v>
                </c:pt>
                <c:pt idx="57">
                  <c:v>74.77</c:v>
                </c:pt>
                <c:pt idx="58">
                  <c:v>74.91</c:v>
                </c:pt>
                <c:pt idx="59">
                  <c:v>74.290000000000006</c:v>
                </c:pt>
                <c:pt idx="60">
                  <c:v>72.31</c:v>
                </c:pt>
                <c:pt idx="61">
                  <c:v>72.03</c:v>
                </c:pt>
                <c:pt idx="62">
                  <c:v>71.86</c:v>
                </c:pt>
                <c:pt idx="63">
                  <c:v>72.53</c:v>
                </c:pt>
                <c:pt idx="64">
                  <c:v>72.040000000000006</c:v>
                </c:pt>
                <c:pt idx="65">
                  <c:v>71.489999999999995</c:v>
                </c:pt>
                <c:pt idx="66">
                  <c:v>72.13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365416"/>
        <c:axId val="645365808"/>
      </c:lineChart>
      <c:dateAx>
        <c:axId val="645365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365808"/>
        <c:crosses val="autoZero"/>
        <c:auto val="1"/>
        <c:lblOffset val="100"/>
        <c:baseTimeUnit val="days"/>
      </c:dateAx>
      <c:valAx>
        <c:axId val="64536580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365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73.12</c:v>
                </c:pt>
                <c:pt idx="1">
                  <c:v>74.069999999999993</c:v>
                </c:pt>
                <c:pt idx="2">
                  <c:v>73.349999999999994</c:v>
                </c:pt>
                <c:pt idx="3">
                  <c:v>73.02</c:v>
                </c:pt>
                <c:pt idx="4">
                  <c:v>76.790000000000006</c:v>
                </c:pt>
                <c:pt idx="5">
                  <c:v>77.349999999999994</c:v>
                </c:pt>
                <c:pt idx="6">
                  <c:v>75.92</c:v>
                </c:pt>
                <c:pt idx="7">
                  <c:v>77.38</c:v>
                </c:pt>
                <c:pt idx="8">
                  <c:v>77.86</c:v>
                </c:pt>
                <c:pt idx="9">
                  <c:v>77.67</c:v>
                </c:pt>
                <c:pt idx="10">
                  <c:v>76.02</c:v>
                </c:pt>
                <c:pt idx="11">
                  <c:v>77.38</c:v>
                </c:pt>
                <c:pt idx="12">
                  <c:v>77.14</c:v>
                </c:pt>
                <c:pt idx="13">
                  <c:v>76.02</c:v>
                </c:pt>
                <c:pt idx="14">
                  <c:v>76.790000000000006</c:v>
                </c:pt>
                <c:pt idx="15">
                  <c:v>77.709999999999994</c:v>
                </c:pt>
                <c:pt idx="16">
                  <c:v>75.069999999999993</c:v>
                </c:pt>
                <c:pt idx="17">
                  <c:v>72.8</c:v>
                </c:pt>
                <c:pt idx="18">
                  <c:v>72.260000000000005</c:v>
                </c:pt>
                <c:pt idx="19">
                  <c:v>73.14</c:v>
                </c:pt>
                <c:pt idx="20">
                  <c:v>73.5</c:v>
                </c:pt>
                <c:pt idx="21">
                  <c:v>73.39</c:v>
                </c:pt>
                <c:pt idx="22">
                  <c:v>73.819999999999993</c:v>
                </c:pt>
                <c:pt idx="23">
                  <c:v>72</c:v>
                </c:pt>
                <c:pt idx="24">
                  <c:v>70.31</c:v>
                </c:pt>
                <c:pt idx="25">
                  <c:v>71.69</c:v>
                </c:pt>
                <c:pt idx="26">
                  <c:v>71.959999999999994</c:v>
                </c:pt>
                <c:pt idx="27">
                  <c:v>71.75</c:v>
                </c:pt>
                <c:pt idx="28">
                  <c:v>70.459999999999994</c:v>
                </c:pt>
                <c:pt idx="29">
                  <c:v>71</c:v>
                </c:pt>
                <c:pt idx="30">
                  <c:v>71.010000000000005</c:v>
                </c:pt>
                <c:pt idx="31">
                  <c:v>72.44</c:v>
                </c:pt>
                <c:pt idx="32">
                  <c:v>74.33</c:v>
                </c:pt>
                <c:pt idx="33">
                  <c:v>73.09</c:v>
                </c:pt>
                <c:pt idx="34">
                  <c:v>73.59</c:v>
                </c:pt>
                <c:pt idx="35">
                  <c:v>73.42</c:v>
                </c:pt>
                <c:pt idx="36">
                  <c:v>74.25</c:v>
                </c:pt>
                <c:pt idx="37">
                  <c:v>73.73</c:v>
                </c:pt>
                <c:pt idx="38">
                  <c:v>73.349999999999994</c:v>
                </c:pt>
                <c:pt idx="39">
                  <c:v>74.52</c:v>
                </c:pt>
                <c:pt idx="40">
                  <c:v>76.040000000000006</c:v>
                </c:pt>
                <c:pt idx="41">
                  <c:v>74.19</c:v>
                </c:pt>
                <c:pt idx="42">
                  <c:v>74.069999999999993</c:v>
                </c:pt>
                <c:pt idx="43">
                  <c:v>74.13</c:v>
                </c:pt>
                <c:pt idx="44">
                  <c:v>74.02</c:v>
                </c:pt>
                <c:pt idx="45">
                  <c:v>74.53</c:v>
                </c:pt>
                <c:pt idx="46">
                  <c:v>74.14</c:v>
                </c:pt>
                <c:pt idx="47">
                  <c:v>74.36</c:v>
                </c:pt>
                <c:pt idx="48">
                  <c:v>77.430000000000007</c:v>
                </c:pt>
                <c:pt idx="49">
                  <c:v>77.27</c:v>
                </c:pt>
                <c:pt idx="50">
                  <c:v>75.95</c:v>
                </c:pt>
                <c:pt idx="52">
                  <c:v>77.099999999999994</c:v>
                </c:pt>
                <c:pt idx="53">
                  <c:v>77.11</c:v>
                </c:pt>
                <c:pt idx="54">
                  <c:v>75.89</c:v>
                </c:pt>
                <c:pt idx="55">
                  <c:v>75.959999999999994</c:v>
                </c:pt>
                <c:pt idx="56">
                  <c:v>76.209999999999994</c:v>
                </c:pt>
                <c:pt idx="57">
                  <c:v>77.2</c:v>
                </c:pt>
                <c:pt idx="58">
                  <c:v>76.92</c:v>
                </c:pt>
                <c:pt idx="59">
                  <c:v>77.099999999999994</c:v>
                </c:pt>
                <c:pt idx="60">
                  <c:v>75.69</c:v>
                </c:pt>
                <c:pt idx="61">
                  <c:v>76.37</c:v>
                </c:pt>
                <c:pt idx="62">
                  <c:v>74.56</c:v>
                </c:pt>
                <c:pt idx="63">
                  <c:v>73.48</c:v>
                </c:pt>
                <c:pt idx="64">
                  <c:v>77.319999999999993</c:v>
                </c:pt>
                <c:pt idx="65">
                  <c:v>78.31</c:v>
                </c:pt>
                <c:pt idx="66">
                  <c:v>78.66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367768"/>
        <c:axId val="645368160"/>
      </c:lineChart>
      <c:dateAx>
        <c:axId val="645367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368160"/>
        <c:crosses val="autoZero"/>
        <c:auto val="1"/>
        <c:lblOffset val="100"/>
        <c:baseTimeUnit val="days"/>
      </c:dateAx>
      <c:valAx>
        <c:axId val="6453681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367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31.15</c:v>
                </c:pt>
                <c:pt idx="1">
                  <c:v>31.4</c:v>
                </c:pt>
                <c:pt idx="2">
                  <c:v>31.49</c:v>
                </c:pt>
                <c:pt idx="3">
                  <c:v>31.43</c:v>
                </c:pt>
                <c:pt idx="4">
                  <c:v>32.049999999999997</c:v>
                </c:pt>
                <c:pt idx="5">
                  <c:v>31.34</c:v>
                </c:pt>
                <c:pt idx="6">
                  <c:v>31.44</c:v>
                </c:pt>
                <c:pt idx="7">
                  <c:v>31.73</c:v>
                </c:pt>
                <c:pt idx="8">
                  <c:v>31.61</c:v>
                </c:pt>
                <c:pt idx="9">
                  <c:v>31.35</c:v>
                </c:pt>
                <c:pt idx="10">
                  <c:v>31.2</c:v>
                </c:pt>
                <c:pt idx="11">
                  <c:v>31.44</c:v>
                </c:pt>
                <c:pt idx="12">
                  <c:v>31.95</c:v>
                </c:pt>
                <c:pt idx="13">
                  <c:v>31.55</c:v>
                </c:pt>
                <c:pt idx="14">
                  <c:v>31.33</c:v>
                </c:pt>
                <c:pt idx="15">
                  <c:v>31.47</c:v>
                </c:pt>
                <c:pt idx="16">
                  <c:v>31.08</c:v>
                </c:pt>
                <c:pt idx="17">
                  <c:v>30.75</c:v>
                </c:pt>
                <c:pt idx="18">
                  <c:v>32.18</c:v>
                </c:pt>
                <c:pt idx="19">
                  <c:v>31.84</c:v>
                </c:pt>
                <c:pt idx="20">
                  <c:v>31.48</c:v>
                </c:pt>
                <c:pt idx="21">
                  <c:v>31.65</c:v>
                </c:pt>
                <c:pt idx="22">
                  <c:v>31.86</c:v>
                </c:pt>
                <c:pt idx="23">
                  <c:v>31</c:v>
                </c:pt>
                <c:pt idx="24">
                  <c:v>31.22</c:v>
                </c:pt>
                <c:pt idx="25">
                  <c:v>31.51</c:v>
                </c:pt>
                <c:pt idx="26">
                  <c:v>31.4</c:v>
                </c:pt>
                <c:pt idx="27">
                  <c:v>31.67</c:v>
                </c:pt>
                <c:pt idx="28">
                  <c:v>31.8</c:v>
                </c:pt>
                <c:pt idx="29">
                  <c:v>32.39</c:v>
                </c:pt>
                <c:pt idx="30">
                  <c:v>32.35</c:v>
                </c:pt>
                <c:pt idx="31">
                  <c:v>32.770000000000003</c:v>
                </c:pt>
                <c:pt idx="32">
                  <c:v>32.64</c:v>
                </c:pt>
                <c:pt idx="33">
                  <c:v>32.520000000000003</c:v>
                </c:pt>
                <c:pt idx="34">
                  <c:v>32.11</c:v>
                </c:pt>
                <c:pt idx="35">
                  <c:v>31.85</c:v>
                </c:pt>
                <c:pt idx="36">
                  <c:v>32.1</c:v>
                </c:pt>
                <c:pt idx="37">
                  <c:v>31.79</c:v>
                </c:pt>
                <c:pt idx="38">
                  <c:v>31.81</c:v>
                </c:pt>
                <c:pt idx="39">
                  <c:v>31.12</c:v>
                </c:pt>
                <c:pt idx="40">
                  <c:v>31.11</c:v>
                </c:pt>
                <c:pt idx="41">
                  <c:v>31.08</c:v>
                </c:pt>
                <c:pt idx="42">
                  <c:v>30.36</c:v>
                </c:pt>
                <c:pt idx="43">
                  <c:v>30.43</c:v>
                </c:pt>
                <c:pt idx="44">
                  <c:v>30.29</c:v>
                </c:pt>
                <c:pt idx="45">
                  <c:v>30.64</c:v>
                </c:pt>
                <c:pt idx="46">
                  <c:v>30.3</c:v>
                </c:pt>
                <c:pt idx="47">
                  <c:v>30.44</c:v>
                </c:pt>
                <c:pt idx="48">
                  <c:v>30.44</c:v>
                </c:pt>
                <c:pt idx="49">
                  <c:v>30.26</c:v>
                </c:pt>
                <c:pt idx="50">
                  <c:v>30.54</c:v>
                </c:pt>
                <c:pt idx="51">
                  <c:v>30.81</c:v>
                </c:pt>
                <c:pt idx="52">
                  <c:v>30.86</c:v>
                </c:pt>
                <c:pt idx="53">
                  <c:v>30.88</c:v>
                </c:pt>
                <c:pt idx="54">
                  <c:v>31.26</c:v>
                </c:pt>
                <c:pt idx="55">
                  <c:v>31.32</c:v>
                </c:pt>
                <c:pt idx="56">
                  <c:v>31.26</c:v>
                </c:pt>
                <c:pt idx="57">
                  <c:v>30.79</c:v>
                </c:pt>
                <c:pt idx="58">
                  <c:v>30.13</c:v>
                </c:pt>
                <c:pt idx="59">
                  <c:v>30.23</c:v>
                </c:pt>
                <c:pt idx="60">
                  <c:v>29.8</c:v>
                </c:pt>
                <c:pt idx="61">
                  <c:v>29.38</c:v>
                </c:pt>
                <c:pt idx="62">
                  <c:v>29.67</c:v>
                </c:pt>
                <c:pt idx="63">
                  <c:v>30.14</c:v>
                </c:pt>
                <c:pt idx="64">
                  <c:v>30.49</c:v>
                </c:pt>
                <c:pt idx="65">
                  <c:v>29.82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370120"/>
        <c:axId val="645370512"/>
      </c:lineChart>
      <c:dateAx>
        <c:axId val="645370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370512"/>
        <c:crosses val="autoZero"/>
        <c:auto val="1"/>
        <c:lblOffset val="100"/>
        <c:baseTimeUnit val="days"/>
      </c:dateAx>
      <c:valAx>
        <c:axId val="64537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37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30.46</c:v>
                </c:pt>
                <c:pt idx="1">
                  <c:v>30.2</c:v>
                </c:pt>
                <c:pt idx="2">
                  <c:v>30.41</c:v>
                </c:pt>
                <c:pt idx="3">
                  <c:v>29.92</c:v>
                </c:pt>
                <c:pt idx="4">
                  <c:v>30.43</c:v>
                </c:pt>
                <c:pt idx="5">
                  <c:v>30.61</c:v>
                </c:pt>
                <c:pt idx="6">
                  <c:v>30.34</c:v>
                </c:pt>
                <c:pt idx="7">
                  <c:v>30.47</c:v>
                </c:pt>
                <c:pt idx="8">
                  <c:v>30.55</c:v>
                </c:pt>
                <c:pt idx="9">
                  <c:v>30.35</c:v>
                </c:pt>
                <c:pt idx="10">
                  <c:v>30.51</c:v>
                </c:pt>
                <c:pt idx="11">
                  <c:v>30.7</c:v>
                </c:pt>
                <c:pt idx="12">
                  <c:v>30.3</c:v>
                </c:pt>
                <c:pt idx="13">
                  <c:v>29.72</c:v>
                </c:pt>
                <c:pt idx="14">
                  <c:v>29.91</c:v>
                </c:pt>
                <c:pt idx="15">
                  <c:v>30.12</c:v>
                </c:pt>
                <c:pt idx="16">
                  <c:v>30.21</c:v>
                </c:pt>
                <c:pt idx="17">
                  <c:v>30.48</c:v>
                </c:pt>
                <c:pt idx="18">
                  <c:v>31.06</c:v>
                </c:pt>
                <c:pt idx="19">
                  <c:v>31.4</c:v>
                </c:pt>
                <c:pt idx="20">
                  <c:v>31.46</c:v>
                </c:pt>
                <c:pt idx="21">
                  <c:v>31.62</c:v>
                </c:pt>
                <c:pt idx="22">
                  <c:v>31.38</c:v>
                </c:pt>
                <c:pt idx="23">
                  <c:v>31.37</c:v>
                </c:pt>
                <c:pt idx="24">
                  <c:v>31.29</c:v>
                </c:pt>
                <c:pt idx="25">
                  <c:v>31</c:v>
                </c:pt>
                <c:pt idx="26">
                  <c:v>30.3</c:v>
                </c:pt>
                <c:pt idx="27">
                  <c:v>30.28</c:v>
                </c:pt>
                <c:pt idx="28">
                  <c:v>30</c:v>
                </c:pt>
                <c:pt idx="29">
                  <c:v>30.05</c:v>
                </c:pt>
                <c:pt idx="30">
                  <c:v>29.8</c:v>
                </c:pt>
                <c:pt idx="31">
                  <c:v>30.27</c:v>
                </c:pt>
                <c:pt idx="32">
                  <c:v>29.93</c:v>
                </c:pt>
                <c:pt idx="33">
                  <c:v>30.03</c:v>
                </c:pt>
                <c:pt idx="34">
                  <c:v>29.81</c:v>
                </c:pt>
                <c:pt idx="35">
                  <c:v>30.08</c:v>
                </c:pt>
                <c:pt idx="36">
                  <c:v>29.67</c:v>
                </c:pt>
                <c:pt idx="37">
                  <c:v>29.47</c:v>
                </c:pt>
                <c:pt idx="38">
                  <c:v>29.52</c:v>
                </c:pt>
                <c:pt idx="39">
                  <c:v>29</c:v>
                </c:pt>
                <c:pt idx="40">
                  <c:v>29.02</c:v>
                </c:pt>
                <c:pt idx="41">
                  <c:v>28.72</c:v>
                </c:pt>
                <c:pt idx="42">
                  <c:v>28.04</c:v>
                </c:pt>
                <c:pt idx="43">
                  <c:v>28.28</c:v>
                </c:pt>
                <c:pt idx="44">
                  <c:v>28.45</c:v>
                </c:pt>
                <c:pt idx="45">
                  <c:v>28.54</c:v>
                </c:pt>
                <c:pt idx="46">
                  <c:v>28.38</c:v>
                </c:pt>
                <c:pt idx="47">
                  <c:v>28.43</c:v>
                </c:pt>
                <c:pt idx="48">
                  <c:v>28.45</c:v>
                </c:pt>
                <c:pt idx="49">
                  <c:v>28.18</c:v>
                </c:pt>
                <c:pt idx="50">
                  <c:v>28.12</c:v>
                </c:pt>
                <c:pt idx="51">
                  <c:v>28.03</c:v>
                </c:pt>
                <c:pt idx="52">
                  <c:v>27.99</c:v>
                </c:pt>
                <c:pt idx="53">
                  <c:v>28.02</c:v>
                </c:pt>
                <c:pt idx="54">
                  <c:v>27.04</c:v>
                </c:pt>
                <c:pt idx="55">
                  <c:v>26.34</c:v>
                </c:pt>
                <c:pt idx="56">
                  <c:v>28.21</c:v>
                </c:pt>
                <c:pt idx="57">
                  <c:v>28.64</c:v>
                </c:pt>
                <c:pt idx="58">
                  <c:v>28.11</c:v>
                </c:pt>
                <c:pt idx="59">
                  <c:v>27.5</c:v>
                </c:pt>
                <c:pt idx="60">
                  <c:v>27.56</c:v>
                </c:pt>
                <c:pt idx="61">
                  <c:v>27.4</c:v>
                </c:pt>
                <c:pt idx="62">
                  <c:v>28.2</c:v>
                </c:pt>
                <c:pt idx="63">
                  <c:v>28.11</c:v>
                </c:pt>
                <c:pt idx="64">
                  <c:v>28.47</c:v>
                </c:pt>
                <c:pt idx="65">
                  <c:v>28.31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372472"/>
        <c:axId val="645372864"/>
      </c:lineChart>
      <c:dateAx>
        <c:axId val="645372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372864"/>
        <c:crosses val="autoZero"/>
        <c:auto val="1"/>
        <c:lblOffset val="100"/>
        <c:baseTimeUnit val="days"/>
      </c:dateAx>
      <c:valAx>
        <c:axId val="6453728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372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18.829999999999998</c:v>
                </c:pt>
                <c:pt idx="1">
                  <c:v>19.38</c:v>
                </c:pt>
                <c:pt idx="2">
                  <c:v>19.45</c:v>
                </c:pt>
                <c:pt idx="3">
                  <c:v>19.440000000000001</c:v>
                </c:pt>
                <c:pt idx="4">
                  <c:v>19.73</c:v>
                </c:pt>
                <c:pt idx="5">
                  <c:v>19.45</c:v>
                </c:pt>
                <c:pt idx="6">
                  <c:v>19.399999999999999</c:v>
                </c:pt>
                <c:pt idx="7">
                  <c:v>19.329999999999998</c:v>
                </c:pt>
                <c:pt idx="8">
                  <c:v>19.23</c:v>
                </c:pt>
                <c:pt idx="9">
                  <c:v>19.22</c:v>
                </c:pt>
                <c:pt idx="10">
                  <c:v>19.399999999999999</c:v>
                </c:pt>
                <c:pt idx="11">
                  <c:v>18.84</c:v>
                </c:pt>
                <c:pt idx="12">
                  <c:v>19.22</c:v>
                </c:pt>
                <c:pt idx="13">
                  <c:v>19.23</c:v>
                </c:pt>
                <c:pt idx="14">
                  <c:v>20.07</c:v>
                </c:pt>
                <c:pt idx="15">
                  <c:v>19.670000000000002</c:v>
                </c:pt>
                <c:pt idx="16">
                  <c:v>20.29</c:v>
                </c:pt>
                <c:pt idx="17">
                  <c:v>19.61</c:v>
                </c:pt>
                <c:pt idx="18">
                  <c:v>20</c:v>
                </c:pt>
                <c:pt idx="19">
                  <c:v>20.12</c:v>
                </c:pt>
                <c:pt idx="20">
                  <c:v>20.52</c:v>
                </c:pt>
                <c:pt idx="21">
                  <c:v>21.24</c:v>
                </c:pt>
                <c:pt idx="22">
                  <c:v>21.3</c:v>
                </c:pt>
                <c:pt idx="23">
                  <c:v>20.2</c:v>
                </c:pt>
                <c:pt idx="24">
                  <c:v>20.58</c:v>
                </c:pt>
                <c:pt idx="25">
                  <c:v>20.8</c:v>
                </c:pt>
                <c:pt idx="26">
                  <c:v>20.89</c:v>
                </c:pt>
                <c:pt idx="27">
                  <c:v>20.74</c:v>
                </c:pt>
                <c:pt idx="28">
                  <c:v>20.12</c:v>
                </c:pt>
                <c:pt idx="29">
                  <c:v>20.13</c:v>
                </c:pt>
                <c:pt idx="30">
                  <c:v>20.260000000000002</c:v>
                </c:pt>
                <c:pt idx="31">
                  <c:v>20.46</c:v>
                </c:pt>
                <c:pt idx="32">
                  <c:v>20.72</c:v>
                </c:pt>
                <c:pt idx="33">
                  <c:v>20.6</c:v>
                </c:pt>
                <c:pt idx="34">
                  <c:v>20.62</c:v>
                </c:pt>
                <c:pt idx="35">
                  <c:v>20.309999999999999</c:v>
                </c:pt>
                <c:pt idx="36">
                  <c:v>20.58</c:v>
                </c:pt>
                <c:pt idx="37">
                  <c:v>21</c:v>
                </c:pt>
                <c:pt idx="38">
                  <c:v>21</c:v>
                </c:pt>
                <c:pt idx="39">
                  <c:v>21.23</c:v>
                </c:pt>
                <c:pt idx="40">
                  <c:v>20.9</c:v>
                </c:pt>
                <c:pt idx="41">
                  <c:v>21.51</c:v>
                </c:pt>
                <c:pt idx="42">
                  <c:v>21.08</c:v>
                </c:pt>
                <c:pt idx="43">
                  <c:v>21.33</c:v>
                </c:pt>
                <c:pt idx="44">
                  <c:v>21.11</c:v>
                </c:pt>
                <c:pt idx="45">
                  <c:v>21.56</c:v>
                </c:pt>
                <c:pt idx="46">
                  <c:v>22.11</c:v>
                </c:pt>
                <c:pt idx="47">
                  <c:v>21.6</c:v>
                </c:pt>
                <c:pt idx="48">
                  <c:v>22.01</c:v>
                </c:pt>
                <c:pt idx="49">
                  <c:v>21.97</c:v>
                </c:pt>
                <c:pt idx="50">
                  <c:v>21.81</c:v>
                </c:pt>
                <c:pt idx="51">
                  <c:v>21.59</c:v>
                </c:pt>
                <c:pt idx="52">
                  <c:v>21.15</c:v>
                </c:pt>
                <c:pt idx="53">
                  <c:v>21.2</c:v>
                </c:pt>
                <c:pt idx="54">
                  <c:v>21.26</c:v>
                </c:pt>
                <c:pt idx="55">
                  <c:v>21.09</c:v>
                </c:pt>
                <c:pt idx="56">
                  <c:v>21.07</c:v>
                </c:pt>
                <c:pt idx="57">
                  <c:v>21.23</c:v>
                </c:pt>
                <c:pt idx="58">
                  <c:v>20.55</c:v>
                </c:pt>
                <c:pt idx="59">
                  <c:v>20.89</c:v>
                </c:pt>
                <c:pt idx="60">
                  <c:v>20.93</c:v>
                </c:pt>
                <c:pt idx="61">
                  <c:v>21.1</c:v>
                </c:pt>
                <c:pt idx="62">
                  <c:v>23.98</c:v>
                </c:pt>
                <c:pt idx="63">
                  <c:v>23.33</c:v>
                </c:pt>
                <c:pt idx="64">
                  <c:v>24</c:v>
                </c:pt>
                <c:pt idx="65">
                  <c:v>23.88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374824"/>
        <c:axId val="647641168"/>
      </c:lineChart>
      <c:dateAx>
        <c:axId val="645374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641168"/>
        <c:crosses val="autoZero"/>
        <c:auto val="1"/>
        <c:lblOffset val="100"/>
        <c:baseTimeUnit val="days"/>
      </c:dateAx>
      <c:valAx>
        <c:axId val="64764116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374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58.86</c:v>
                </c:pt>
                <c:pt idx="1">
                  <c:v>57.57</c:v>
                </c:pt>
                <c:pt idx="2">
                  <c:v>58.88</c:v>
                </c:pt>
                <c:pt idx="3">
                  <c:v>57.8</c:v>
                </c:pt>
                <c:pt idx="4">
                  <c:v>58.43</c:v>
                </c:pt>
                <c:pt idx="5">
                  <c:v>58.54</c:v>
                </c:pt>
                <c:pt idx="6">
                  <c:v>57.26</c:v>
                </c:pt>
                <c:pt idx="7">
                  <c:v>57.91</c:v>
                </c:pt>
                <c:pt idx="8">
                  <c:v>57.86</c:v>
                </c:pt>
                <c:pt idx="9">
                  <c:v>57.32</c:v>
                </c:pt>
                <c:pt idx="10">
                  <c:v>56.34</c:v>
                </c:pt>
                <c:pt idx="11">
                  <c:v>57.29</c:v>
                </c:pt>
                <c:pt idx="12">
                  <c:v>55.31</c:v>
                </c:pt>
                <c:pt idx="13">
                  <c:v>55.73</c:v>
                </c:pt>
                <c:pt idx="14">
                  <c:v>54.71</c:v>
                </c:pt>
                <c:pt idx="15">
                  <c:v>54.52</c:v>
                </c:pt>
                <c:pt idx="16">
                  <c:v>52.92</c:v>
                </c:pt>
                <c:pt idx="17">
                  <c:v>53.04</c:v>
                </c:pt>
                <c:pt idx="18">
                  <c:v>53.07</c:v>
                </c:pt>
                <c:pt idx="19">
                  <c:v>52.88</c:v>
                </c:pt>
                <c:pt idx="20">
                  <c:v>52.86</c:v>
                </c:pt>
                <c:pt idx="21">
                  <c:v>52.73</c:v>
                </c:pt>
                <c:pt idx="22">
                  <c:v>52.31</c:v>
                </c:pt>
                <c:pt idx="23">
                  <c:v>52.35</c:v>
                </c:pt>
                <c:pt idx="24">
                  <c:v>52.7</c:v>
                </c:pt>
                <c:pt idx="25">
                  <c:v>53.92</c:v>
                </c:pt>
                <c:pt idx="26">
                  <c:v>49.46</c:v>
                </c:pt>
                <c:pt idx="27">
                  <c:v>49.65</c:v>
                </c:pt>
                <c:pt idx="28">
                  <c:v>49.94</c:v>
                </c:pt>
                <c:pt idx="29">
                  <c:v>51.09</c:v>
                </c:pt>
                <c:pt idx="30">
                  <c:v>50.07</c:v>
                </c:pt>
                <c:pt idx="31">
                  <c:v>50.38</c:v>
                </c:pt>
                <c:pt idx="32">
                  <c:v>50.24</c:v>
                </c:pt>
                <c:pt idx="33">
                  <c:v>51.15</c:v>
                </c:pt>
                <c:pt idx="34">
                  <c:v>51.01</c:v>
                </c:pt>
                <c:pt idx="35">
                  <c:v>51.68</c:v>
                </c:pt>
                <c:pt idx="36">
                  <c:v>51.34</c:v>
                </c:pt>
                <c:pt idx="37">
                  <c:v>50.3</c:v>
                </c:pt>
                <c:pt idx="38">
                  <c:v>49.93</c:v>
                </c:pt>
                <c:pt idx="39">
                  <c:v>50.47</c:v>
                </c:pt>
                <c:pt idx="40">
                  <c:v>51.3</c:v>
                </c:pt>
                <c:pt idx="41">
                  <c:v>49.98</c:v>
                </c:pt>
                <c:pt idx="42">
                  <c:v>49.84</c:v>
                </c:pt>
                <c:pt idx="43">
                  <c:v>50.2</c:v>
                </c:pt>
                <c:pt idx="44">
                  <c:v>50.17</c:v>
                </c:pt>
                <c:pt idx="45">
                  <c:v>50.49</c:v>
                </c:pt>
                <c:pt idx="46">
                  <c:v>50.45</c:v>
                </c:pt>
                <c:pt idx="47">
                  <c:v>50.25</c:v>
                </c:pt>
                <c:pt idx="48">
                  <c:v>50.65</c:v>
                </c:pt>
                <c:pt idx="49">
                  <c:v>50.89</c:v>
                </c:pt>
                <c:pt idx="50">
                  <c:v>50.35</c:v>
                </c:pt>
                <c:pt idx="51">
                  <c:v>49.93</c:v>
                </c:pt>
                <c:pt idx="52">
                  <c:v>50.59</c:v>
                </c:pt>
                <c:pt idx="53">
                  <c:v>49.28</c:v>
                </c:pt>
                <c:pt idx="54">
                  <c:v>49.55</c:v>
                </c:pt>
                <c:pt idx="55">
                  <c:v>49.37</c:v>
                </c:pt>
                <c:pt idx="56">
                  <c:v>49.79</c:v>
                </c:pt>
                <c:pt idx="57">
                  <c:v>49.6</c:v>
                </c:pt>
                <c:pt idx="58">
                  <c:v>49.85</c:v>
                </c:pt>
                <c:pt idx="59">
                  <c:v>47.68</c:v>
                </c:pt>
                <c:pt idx="61">
                  <c:v>47.07</c:v>
                </c:pt>
                <c:pt idx="62">
                  <c:v>47.91</c:v>
                </c:pt>
                <c:pt idx="63">
                  <c:v>47.07</c:v>
                </c:pt>
                <c:pt idx="64">
                  <c:v>46.61</c:v>
                </c:pt>
                <c:pt idx="65">
                  <c:v>47.24</c:v>
                </c:pt>
                <c:pt idx="66">
                  <c:v>47.52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643128"/>
        <c:axId val="647643520"/>
      </c:lineChart>
      <c:dateAx>
        <c:axId val="647643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643520"/>
        <c:crosses val="autoZero"/>
        <c:auto val="1"/>
        <c:lblOffset val="100"/>
        <c:baseTimeUnit val="days"/>
      </c:dateAx>
      <c:valAx>
        <c:axId val="64764352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64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35.130000000000003</c:v>
                </c:pt>
                <c:pt idx="1">
                  <c:v>34.6</c:v>
                </c:pt>
                <c:pt idx="2">
                  <c:v>34.49</c:v>
                </c:pt>
                <c:pt idx="3">
                  <c:v>34.69</c:v>
                </c:pt>
                <c:pt idx="4">
                  <c:v>35</c:v>
                </c:pt>
                <c:pt idx="5">
                  <c:v>34.950000000000003</c:v>
                </c:pt>
                <c:pt idx="6">
                  <c:v>35.6</c:v>
                </c:pt>
                <c:pt idx="7">
                  <c:v>35.590000000000003</c:v>
                </c:pt>
                <c:pt idx="8">
                  <c:v>35.39</c:v>
                </c:pt>
                <c:pt idx="9">
                  <c:v>35.4</c:v>
                </c:pt>
                <c:pt idx="10">
                  <c:v>35.450000000000003</c:v>
                </c:pt>
                <c:pt idx="11">
                  <c:v>35.46</c:v>
                </c:pt>
                <c:pt idx="12">
                  <c:v>35.090000000000003</c:v>
                </c:pt>
                <c:pt idx="13">
                  <c:v>35.200000000000003</c:v>
                </c:pt>
                <c:pt idx="14">
                  <c:v>35.03</c:v>
                </c:pt>
                <c:pt idx="15">
                  <c:v>35.159999999999997</c:v>
                </c:pt>
                <c:pt idx="16">
                  <c:v>35.65</c:v>
                </c:pt>
                <c:pt idx="17">
                  <c:v>35.33</c:v>
                </c:pt>
                <c:pt idx="18">
                  <c:v>35.119999999999997</c:v>
                </c:pt>
                <c:pt idx="19">
                  <c:v>34.83</c:v>
                </c:pt>
                <c:pt idx="20">
                  <c:v>34.950000000000003</c:v>
                </c:pt>
                <c:pt idx="21">
                  <c:v>34.74</c:v>
                </c:pt>
                <c:pt idx="22">
                  <c:v>34.53</c:v>
                </c:pt>
                <c:pt idx="23">
                  <c:v>34.130000000000003</c:v>
                </c:pt>
                <c:pt idx="24">
                  <c:v>34.33</c:v>
                </c:pt>
                <c:pt idx="25">
                  <c:v>34.43</c:v>
                </c:pt>
                <c:pt idx="26">
                  <c:v>34.81</c:v>
                </c:pt>
                <c:pt idx="27">
                  <c:v>34.549999999999997</c:v>
                </c:pt>
                <c:pt idx="28">
                  <c:v>34.25</c:v>
                </c:pt>
                <c:pt idx="29">
                  <c:v>34.03</c:v>
                </c:pt>
                <c:pt idx="30">
                  <c:v>33.86</c:v>
                </c:pt>
                <c:pt idx="31">
                  <c:v>32.979999999999997</c:v>
                </c:pt>
                <c:pt idx="32">
                  <c:v>32.21</c:v>
                </c:pt>
                <c:pt idx="33">
                  <c:v>32.15</c:v>
                </c:pt>
                <c:pt idx="34">
                  <c:v>32.24</c:v>
                </c:pt>
                <c:pt idx="35">
                  <c:v>32.5</c:v>
                </c:pt>
                <c:pt idx="36">
                  <c:v>31.5</c:v>
                </c:pt>
                <c:pt idx="37">
                  <c:v>31.96</c:v>
                </c:pt>
                <c:pt idx="38">
                  <c:v>31.93</c:v>
                </c:pt>
                <c:pt idx="39">
                  <c:v>31.95</c:v>
                </c:pt>
                <c:pt idx="40">
                  <c:v>31.59</c:v>
                </c:pt>
                <c:pt idx="41">
                  <c:v>31.37</c:v>
                </c:pt>
                <c:pt idx="42">
                  <c:v>31.4</c:v>
                </c:pt>
                <c:pt idx="43">
                  <c:v>31.58</c:v>
                </c:pt>
                <c:pt idx="44">
                  <c:v>31.62</c:v>
                </c:pt>
                <c:pt idx="46">
                  <c:v>31.91</c:v>
                </c:pt>
                <c:pt idx="47">
                  <c:v>32.19</c:v>
                </c:pt>
                <c:pt idx="48">
                  <c:v>32.29</c:v>
                </c:pt>
                <c:pt idx="49">
                  <c:v>32.4</c:v>
                </c:pt>
                <c:pt idx="50">
                  <c:v>32.24</c:v>
                </c:pt>
                <c:pt idx="51">
                  <c:v>32.409999999999997</c:v>
                </c:pt>
                <c:pt idx="52">
                  <c:v>32.47</c:v>
                </c:pt>
                <c:pt idx="53">
                  <c:v>32.15</c:v>
                </c:pt>
                <c:pt idx="54">
                  <c:v>31.58</c:v>
                </c:pt>
                <c:pt idx="55">
                  <c:v>31.83</c:v>
                </c:pt>
                <c:pt idx="56">
                  <c:v>32.130000000000003</c:v>
                </c:pt>
                <c:pt idx="57">
                  <c:v>32.299999999999997</c:v>
                </c:pt>
                <c:pt idx="58">
                  <c:v>31.64</c:v>
                </c:pt>
                <c:pt idx="59">
                  <c:v>32.049999999999997</c:v>
                </c:pt>
                <c:pt idx="60">
                  <c:v>31.31</c:v>
                </c:pt>
                <c:pt idx="61">
                  <c:v>31.59</c:v>
                </c:pt>
                <c:pt idx="62">
                  <c:v>31.52</c:v>
                </c:pt>
                <c:pt idx="63">
                  <c:v>31.4</c:v>
                </c:pt>
                <c:pt idx="64">
                  <c:v>32.46</c:v>
                </c:pt>
                <c:pt idx="65">
                  <c:v>33.01</c:v>
                </c:pt>
                <c:pt idx="66">
                  <c:v>33.47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645480"/>
        <c:axId val="647645872"/>
      </c:lineChart>
      <c:dateAx>
        <c:axId val="6476454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645872"/>
        <c:crosses val="autoZero"/>
        <c:auto val="1"/>
        <c:lblOffset val="100"/>
        <c:baseTimeUnit val="days"/>
      </c:dateAx>
      <c:valAx>
        <c:axId val="64764587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645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57.26</c:v>
                </c:pt>
                <c:pt idx="1">
                  <c:v>56.86</c:v>
                </c:pt>
                <c:pt idx="2">
                  <c:v>57.18</c:v>
                </c:pt>
                <c:pt idx="3">
                  <c:v>56.71</c:v>
                </c:pt>
                <c:pt idx="4">
                  <c:v>56.56</c:v>
                </c:pt>
                <c:pt idx="5">
                  <c:v>56.44</c:v>
                </c:pt>
                <c:pt idx="6">
                  <c:v>55.77</c:v>
                </c:pt>
                <c:pt idx="7">
                  <c:v>55.35</c:v>
                </c:pt>
                <c:pt idx="8">
                  <c:v>54.78</c:v>
                </c:pt>
                <c:pt idx="9">
                  <c:v>54.59</c:v>
                </c:pt>
                <c:pt idx="10">
                  <c:v>54.28</c:v>
                </c:pt>
                <c:pt idx="11">
                  <c:v>55.03</c:v>
                </c:pt>
                <c:pt idx="12">
                  <c:v>53.71</c:v>
                </c:pt>
                <c:pt idx="13">
                  <c:v>52.03</c:v>
                </c:pt>
                <c:pt idx="14">
                  <c:v>51.65</c:v>
                </c:pt>
                <c:pt idx="15">
                  <c:v>51.51</c:v>
                </c:pt>
                <c:pt idx="16">
                  <c:v>52</c:v>
                </c:pt>
                <c:pt idx="17">
                  <c:v>51.66</c:v>
                </c:pt>
                <c:pt idx="18">
                  <c:v>51.04</c:v>
                </c:pt>
                <c:pt idx="19">
                  <c:v>50.78</c:v>
                </c:pt>
                <c:pt idx="20">
                  <c:v>50.5</c:v>
                </c:pt>
                <c:pt idx="21">
                  <c:v>49.29</c:v>
                </c:pt>
                <c:pt idx="22">
                  <c:v>49.16</c:v>
                </c:pt>
                <c:pt idx="23">
                  <c:v>48.69</c:v>
                </c:pt>
                <c:pt idx="24">
                  <c:v>47.74</c:v>
                </c:pt>
                <c:pt idx="25">
                  <c:v>46.82</c:v>
                </c:pt>
                <c:pt idx="26">
                  <c:v>49.55</c:v>
                </c:pt>
                <c:pt idx="27">
                  <c:v>48.96</c:v>
                </c:pt>
                <c:pt idx="28">
                  <c:v>50</c:v>
                </c:pt>
                <c:pt idx="29">
                  <c:v>49.23</c:v>
                </c:pt>
                <c:pt idx="30">
                  <c:v>55.49</c:v>
                </c:pt>
                <c:pt idx="31">
                  <c:v>56.07</c:v>
                </c:pt>
                <c:pt idx="32">
                  <c:v>56.28</c:v>
                </c:pt>
                <c:pt idx="33">
                  <c:v>56.22</c:v>
                </c:pt>
                <c:pt idx="34">
                  <c:v>56.55</c:v>
                </c:pt>
                <c:pt idx="35">
                  <c:v>56.8</c:v>
                </c:pt>
                <c:pt idx="36">
                  <c:v>59.98</c:v>
                </c:pt>
                <c:pt idx="37">
                  <c:v>59.73</c:v>
                </c:pt>
                <c:pt idx="38">
                  <c:v>59.95</c:v>
                </c:pt>
                <c:pt idx="39">
                  <c:v>60.13</c:v>
                </c:pt>
                <c:pt idx="40">
                  <c:v>59.14</c:v>
                </c:pt>
                <c:pt idx="42">
                  <c:v>59.45</c:v>
                </c:pt>
                <c:pt idx="43">
                  <c:v>58.44</c:v>
                </c:pt>
                <c:pt idx="44">
                  <c:v>58.9</c:v>
                </c:pt>
                <c:pt idx="45">
                  <c:v>58.61</c:v>
                </c:pt>
                <c:pt idx="46">
                  <c:v>59.33</c:v>
                </c:pt>
                <c:pt idx="47">
                  <c:v>59.61</c:v>
                </c:pt>
                <c:pt idx="48">
                  <c:v>58.76</c:v>
                </c:pt>
                <c:pt idx="49">
                  <c:v>58.69</c:v>
                </c:pt>
                <c:pt idx="50">
                  <c:v>59.12</c:v>
                </c:pt>
                <c:pt idx="51">
                  <c:v>59.42</c:v>
                </c:pt>
                <c:pt idx="52">
                  <c:v>58.62</c:v>
                </c:pt>
                <c:pt idx="53">
                  <c:v>58.65</c:v>
                </c:pt>
                <c:pt idx="54">
                  <c:v>58.5</c:v>
                </c:pt>
                <c:pt idx="55">
                  <c:v>57.17</c:v>
                </c:pt>
                <c:pt idx="56">
                  <c:v>56.55</c:v>
                </c:pt>
                <c:pt idx="57">
                  <c:v>57.04</c:v>
                </c:pt>
                <c:pt idx="58">
                  <c:v>55.23</c:v>
                </c:pt>
                <c:pt idx="59">
                  <c:v>55.24</c:v>
                </c:pt>
                <c:pt idx="60">
                  <c:v>56.03</c:v>
                </c:pt>
                <c:pt idx="61">
                  <c:v>55.55</c:v>
                </c:pt>
                <c:pt idx="62">
                  <c:v>55.96</c:v>
                </c:pt>
                <c:pt idx="63">
                  <c:v>55.8</c:v>
                </c:pt>
                <c:pt idx="64">
                  <c:v>56.44</c:v>
                </c:pt>
                <c:pt idx="65">
                  <c:v>56.36</c:v>
                </c:pt>
                <c:pt idx="66">
                  <c:v>56.51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647832"/>
        <c:axId val="647648224"/>
      </c:lineChart>
      <c:dateAx>
        <c:axId val="647647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648224"/>
        <c:crosses val="autoZero"/>
        <c:auto val="1"/>
        <c:lblOffset val="100"/>
        <c:baseTimeUnit val="days"/>
      </c:dateAx>
      <c:valAx>
        <c:axId val="64764822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647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63.36</c:v>
                </c:pt>
                <c:pt idx="1">
                  <c:v>63.79</c:v>
                </c:pt>
                <c:pt idx="2">
                  <c:v>63.38</c:v>
                </c:pt>
                <c:pt idx="3">
                  <c:v>62.6</c:v>
                </c:pt>
                <c:pt idx="4">
                  <c:v>62.86</c:v>
                </c:pt>
                <c:pt idx="5">
                  <c:v>62.87</c:v>
                </c:pt>
                <c:pt idx="6">
                  <c:v>62.7</c:v>
                </c:pt>
                <c:pt idx="7">
                  <c:v>63.01</c:v>
                </c:pt>
                <c:pt idx="8">
                  <c:v>62.64</c:v>
                </c:pt>
                <c:pt idx="9">
                  <c:v>62.34</c:v>
                </c:pt>
                <c:pt idx="10">
                  <c:v>64.239999999999995</c:v>
                </c:pt>
                <c:pt idx="11">
                  <c:v>63.9</c:v>
                </c:pt>
                <c:pt idx="12">
                  <c:v>63.55</c:v>
                </c:pt>
                <c:pt idx="13">
                  <c:v>63.6</c:v>
                </c:pt>
                <c:pt idx="14">
                  <c:v>63.95</c:v>
                </c:pt>
                <c:pt idx="15">
                  <c:v>63.85</c:v>
                </c:pt>
                <c:pt idx="16">
                  <c:v>63.55</c:v>
                </c:pt>
                <c:pt idx="17">
                  <c:v>71.12</c:v>
                </c:pt>
                <c:pt idx="18">
                  <c:v>69.709999999999994</c:v>
                </c:pt>
                <c:pt idx="19">
                  <c:v>69.55</c:v>
                </c:pt>
                <c:pt idx="20">
                  <c:v>69.400000000000006</c:v>
                </c:pt>
                <c:pt idx="21">
                  <c:v>68.7</c:v>
                </c:pt>
                <c:pt idx="22">
                  <c:v>68.59</c:v>
                </c:pt>
                <c:pt idx="23">
                  <c:v>67.81</c:v>
                </c:pt>
                <c:pt idx="24">
                  <c:v>67.97</c:v>
                </c:pt>
                <c:pt idx="25">
                  <c:v>67.78</c:v>
                </c:pt>
                <c:pt idx="26">
                  <c:v>68.73</c:v>
                </c:pt>
                <c:pt idx="27">
                  <c:v>67.739999999999995</c:v>
                </c:pt>
                <c:pt idx="28">
                  <c:v>67.97</c:v>
                </c:pt>
                <c:pt idx="29">
                  <c:v>69.150000000000006</c:v>
                </c:pt>
                <c:pt idx="30">
                  <c:v>68.98</c:v>
                </c:pt>
                <c:pt idx="31">
                  <c:v>69.599999999999994</c:v>
                </c:pt>
                <c:pt idx="32">
                  <c:v>69.790000000000006</c:v>
                </c:pt>
                <c:pt idx="33">
                  <c:v>70.02</c:v>
                </c:pt>
                <c:pt idx="34">
                  <c:v>69.930000000000007</c:v>
                </c:pt>
                <c:pt idx="35">
                  <c:v>70.12</c:v>
                </c:pt>
                <c:pt idx="36">
                  <c:v>70.28</c:v>
                </c:pt>
                <c:pt idx="37">
                  <c:v>70</c:v>
                </c:pt>
                <c:pt idx="38">
                  <c:v>69.790000000000006</c:v>
                </c:pt>
                <c:pt idx="39">
                  <c:v>69.55</c:v>
                </c:pt>
                <c:pt idx="40">
                  <c:v>68.33</c:v>
                </c:pt>
                <c:pt idx="41">
                  <c:v>67.569999999999993</c:v>
                </c:pt>
                <c:pt idx="42">
                  <c:v>66.680000000000007</c:v>
                </c:pt>
                <c:pt idx="43">
                  <c:v>67.040000000000006</c:v>
                </c:pt>
                <c:pt idx="44">
                  <c:v>67.27</c:v>
                </c:pt>
                <c:pt idx="45">
                  <c:v>68.09</c:v>
                </c:pt>
                <c:pt idx="46">
                  <c:v>67.63</c:v>
                </c:pt>
                <c:pt idx="47">
                  <c:v>67.37</c:v>
                </c:pt>
                <c:pt idx="48">
                  <c:v>67.87</c:v>
                </c:pt>
                <c:pt idx="49">
                  <c:v>68.7</c:v>
                </c:pt>
                <c:pt idx="50">
                  <c:v>67.760000000000005</c:v>
                </c:pt>
                <c:pt idx="51">
                  <c:v>67.19</c:v>
                </c:pt>
                <c:pt idx="52">
                  <c:v>67.58</c:v>
                </c:pt>
                <c:pt idx="53">
                  <c:v>66.989999999999995</c:v>
                </c:pt>
                <c:pt idx="54">
                  <c:v>65.14</c:v>
                </c:pt>
                <c:pt idx="55">
                  <c:v>64.25</c:v>
                </c:pt>
                <c:pt idx="56">
                  <c:v>64.94</c:v>
                </c:pt>
                <c:pt idx="57">
                  <c:v>66.31</c:v>
                </c:pt>
                <c:pt idx="58">
                  <c:v>66.150000000000006</c:v>
                </c:pt>
                <c:pt idx="59">
                  <c:v>64.930000000000007</c:v>
                </c:pt>
                <c:pt idx="60">
                  <c:v>64.31</c:v>
                </c:pt>
                <c:pt idx="61">
                  <c:v>63.87</c:v>
                </c:pt>
                <c:pt idx="62">
                  <c:v>63.51</c:v>
                </c:pt>
                <c:pt idx="63">
                  <c:v>66.7</c:v>
                </c:pt>
                <c:pt idx="64">
                  <c:v>67.28</c:v>
                </c:pt>
                <c:pt idx="65">
                  <c:v>66.17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650184"/>
        <c:axId val="647650576"/>
      </c:lineChart>
      <c:dateAx>
        <c:axId val="647650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650576"/>
        <c:crosses val="autoZero"/>
        <c:auto val="1"/>
        <c:lblOffset val="100"/>
        <c:baseTimeUnit val="days"/>
      </c:dateAx>
      <c:valAx>
        <c:axId val="64765057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650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81.02</c:v>
                </c:pt>
                <c:pt idx="1">
                  <c:v>81.349999999999994</c:v>
                </c:pt>
                <c:pt idx="2">
                  <c:v>80.7</c:v>
                </c:pt>
                <c:pt idx="3">
                  <c:v>80.58</c:v>
                </c:pt>
                <c:pt idx="4">
                  <c:v>81.41</c:v>
                </c:pt>
                <c:pt idx="5">
                  <c:v>81.48</c:v>
                </c:pt>
                <c:pt idx="6">
                  <c:v>80.86</c:v>
                </c:pt>
                <c:pt idx="7">
                  <c:v>80.16</c:v>
                </c:pt>
                <c:pt idx="8">
                  <c:v>79.760000000000005</c:v>
                </c:pt>
                <c:pt idx="9">
                  <c:v>79.69</c:v>
                </c:pt>
                <c:pt idx="10">
                  <c:v>79.45</c:v>
                </c:pt>
                <c:pt idx="11">
                  <c:v>79.41</c:v>
                </c:pt>
                <c:pt idx="12">
                  <c:v>78.67</c:v>
                </c:pt>
                <c:pt idx="13">
                  <c:v>78.7</c:v>
                </c:pt>
                <c:pt idx="14">
                  <c:v>78.53</c:v>
                </c:pt>
                <c:pt idx="15">
                  <c:v>77.31</c:v>
                </c:pt>
                <c:pt idx="16">
                  <c:v>77.03</c:v>
                </c:pt>
                <c:pt idx="17">
                  <c:v>76.36</c:v>
                </c:pt>
                <c:pt idx="18">
                  <c:v>76.069999999999993</c:v>
                </c:pt>
                <c:pt idx="19">
                  <c:v>75.459999999999994</c:v>
                </c:pt>
                <c:pt idx="20">
                  <c:v>74.8</c:v>
                </c:pt>
                <c:pt idx="21">
                  <c:v>77.97</c:v>
                </c:pt>
                <c:pt idx="22">
                  <c:v>78.81</c:v>
                </c:pt>
                <c:pt idx="23">
                  <c:v>78.680000000000007</c:v>
                </c:pt>
                <c:pt idx="24">
                  <c:v>77.75</c:v>
                </c:pt>
                <c:pt idx="25">
                  <c:v>79.33</c:v>
                </c:pt>
                <c:pt idx="26">
                  <c:v>79.489999999999995</c:v>
                </c:pt>
                <c:pt idx="27">
                  <c:v>81.78</c:v>
                </c:pt>
                <c:pt idx="28">
                  <c:v>81.25</c:v>
                </c:pt>
                <c:pt idx="29">
                  <c:v>81.56</c:v>
                </c:pt>
                <c:pt idx="31">
                  <c:v>83.2</c:v>
                </c:pt>
                <c:pt idx="32">
                  <c:v>83.54</c:v>
                </c:pt>
                <c:pt idx="33">
                  <c:v>83.92</c:v>
                </c:pt>
                <c:pt idx="34">
                  <c:v>81.98</c:v>
                </c:pt>
                <c:pt idx="35">
                  <c:v>82.6</c:v>
                </c:pt>
                <c:pt idx="36">
                  <c:v>82.77</c:v>
                </c:pt>
                <c:pt idx="37">
                  <c:v>82.67</c:v>
                </c:pt>
                <c:pt idx="38">
                  <c:v>81.7</c:v>
                </c:pt>
                <c:pt idx="39">
                  <c:v>82.2</c:v>
                </c:pt>
                <c:pt idx="40">
                  <c:v>81.42</c:v>
                </c:pt>
                <c:pt idx="41">
                  <c:v>79.75</c:v>
                </c:pt>
                <c:pt idx="42">
                  <c:v>80.349999999999994</c:v>
                </c:pt>
                <c:pt idx="43">
                  <c:v>78.91</c:v>
                </c:pt>
                <c:pt idx="44">
                  <c:v>79</c:v>
                </c:pt>
                <c:pt idx="45">
                  <c:v>79.040000000000006</c:v>
                </c:pt>
                <c:pt idx="46">
                  <c:v>79.290000000000006</c:v>
                </c:pt>
                <c:pt idx="47">
                  <c:v>79.14</c:v>
                </c:pt>
                <c:pt idx="48">
                  <c:v>78.790000000000006</c:v>
                </c:pt>
                <c:pt idx="49">
                  <c:v>79.849999999999994</c:v>
                </c:pt>
                <c:pt idx="50">
                  <c:v>79.84</c:v>
                </c:pt>
                <c:pt idx="51">
                  <c:v>79.930000000000007</c:v>
                </c:pt>
                <c:pt idx="52">
                  <c:v>79.56</c:v>
                </c:pt>
                <c:pt idx="53">
                  <c:v>78.290000000000006</c:v>
                </c:pt>
                <c:pt idx="54">
                  <c:v>78.959999999999994</c:v>
                </c:pt>
                <c:pt idx="55">
                  <c:v>80.150000000000006</c:v>
                </c:pt>
                <c:pt idx="56">
                  <c:v>79.73</c:v>
                </c:pt>
                <c:pt idx="57">
                  <c:v>80.13</c:v>
                </c:pt>
                <c:pt idx="58">
                  <c:v>78.11</c:v>
                </c:pt>
                <c:pt idx="59">
                  <c:v>80.53</c:v>
                </c:pt>
                <c:pt idx="60">
                  <c:v>79.42</c:v>
                </c:pt>
                <c:pt idx="61">
                  <c:v>77.989999999999995</c:v>
                </c:pt>
                <c:pt idx="62">
                  <c:v>77.62</c:v>
                </c:pt>
                <c:pt idx="63">
                  <c:v>76.760000000000005</c:v>
                </c:pt>
                <c:pt idx="64">
                  <c:v>76.89</c:v>
                </c:pt>
                <c:pt idx="65">
                  <c:v>75.88</c:v>
                </c:pt>
                <c:pt idx="66">
                  <c:v>74.78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652928"/>
        <c:axId val="647653320"/>
      </c:lineChart>
      <c:dateAx>
        <c:axId val="647652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653320"/>
        <c:crosses val="autoZero"/>
        <c:auto val="1"/>
        <c:lblOffset val="100"/>
        <c:baseTimeUnit val="days"/>
      </c:dateAx>
      <c:valAx>
        <c:axId val="6476533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65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16.18</c:v>
                </c:pt>
                <c:pt idx="1">
                  <c:v>16.14</c:v>
                </c:pt>
                <c:pt idx="2">
                  <c:v>16.45</c:v>
                </c:pt>
                <c:pt idx="3">
                  <c:v>16</c:v>
                </c:pt>
                <c:pt idx="4">
                  <c:v>15.85</c:v>
                </c:pt>
                <c:pt idx="5">
                  <c:v>15.73</c:v>
                </c:pt>
                <c:pt idx="6">
                  <c:v>15.98</c:v>
                </c:pt>
                <c:pt idx="7">
                  <c:v>15.76</c:v>
                </c:pt>
                <c:pt idx="8">
                  <c:v>16.38</c:v>
                </c:pt>
                <c:pt idx="9">
                  <c:v>16.23</c:v>
                </c:pt>
                <c:pt idx="10">
                  <c:v>16.170000000000002</c:v>
                </c:pt>
                <c:pt idx="11">
                  <c:v>16.3</c:v>
                </c:pt>
                <c:pt idx="12">
                  <c:v>16.41</c:v>
                </c:pt>
                <c:pt idx="13">
                  <c:v>16.059999999999999</c:v>
                </c:pt>
                <c:pt idx="15">
                  <c:v>16.190000000000001</c:v>
                </c:pt>
                <c:pt idx="16">
                  <c:v>16.05</c:v>
                </c:pt>
                <c:pt idx="17">
                  <c:v>15.88</c:v>
                </c:pt>
                <c:pt idx="18">
                  <c:v>16.03</c:v>
                </c:pt>
                <c:pt idx="19">
                  <c:v>16.52</c:v>
                </c:pt>
                <c:pt idx="20">
                  <c:v>17.23</c:v>
                </c:pt>
                <c:pt idx="21">
                  <c:v>16.68</c:v>
                </c:pt>
                <c:pt idx="22">
                  <c:v>16.59</c:v>
                </c:pt>
                <c:pt idx="23">
                  <c:v>16.75</c:v>
                </c:pt>
                <c:pt idx="24">
                  <c:v>16.53</c:v>
                </c:pt>
                <c:pt idx="25">
                  <c:v>17.41</c:v>
                </c:pt>
                <c:pt idx="26">
                  <c:v>17.75</c:v>
                </c:pt>
                <c:pt idx="27">
                  <c:v>17.75</c:v>
                </c:pt>
                <c:pt idx="28">
                  <c:v>17.7</c:v>
                </c:pt>
                <c:pt idx="29">
                  <c:v>17.420000000000002</c:v>
                </c:pt>
                <c:pt idx="30">
                  <c:v>17.61</c:v>
                </c:pt>
                <c:pt idx="31">
                  <c:v>17.27</c:v>
                </c:pt>
                <c:pt idx="32">
                  <c:v>17.329999999999998</c:v>
                </c:pt>
                <c:pt idx="33">
                  <c:v>17.440000000000001</c:v>
                </c:pt>
                <c:pt idx="34">
                  <c:v>17.45</c:v>
                </c:pt>
                <c:pt idx="35">
                  <c:v>17.440000000000001</c:v>
                </c:pt>
                <c:pt idx="36">
                  <c:v>17.690000000000001</c:v>
                </c:pt>
                <c:pt idx="37">
                  <c:v>17.48</c:v>
                </c:pt>
                <c:pt idx="38">
                  <c:v>17.399999999999999</c:v>
                </c:pt>
                <c:pt idx="39">
                  <c:v>17.88</c:v>
                </c:pt>
                <c:pt idx="40">
                  <c:v>18.18</c:v>
                </c:pt>
                <c:pt idx="41">
                  <c:v>18.05</c:v>
                </c:pt>
                <c:pt idx="42">
                  <c:v>17.760000000000002</c:v>
                </c:pt>
                <c:pt idx="43">
                  <c:v>17.309999999999999</c:v>
                </c:pt>
                <c:pt idx="44">
                  <c:v>17.57</c:v>
                </c:pt>
                <c:pt idx="45">
                  <c:v>17.850000000000001</c:v>
                </c:pt>
                <c:pt idx="46">
                  <c:v>18.14</c:v>
                </c:pt>
                <c:pt idx="47">
                  <c:v>18.059999999999999</c:v>
                </c:pt>
                <c:pt idx="48">
                  <c:v>18.04</c:v>
                </c:pt>
                <c:pt idx="49">
                  <c:v>18.079999999999998</c:v>
                </c:pt>
                <c:pt idx="50">
                  <c:v>18.309999999999999</c:v>
                </c:pt>
                <c:pt idx="51">
                  <c:v>18.510000000000002</c:v>
                </c:pt>
                <c:pt idx="52">
                  <c:v>18.59</c:v>
                </c:pt>
                <c:pt idx="53">
                  <c:v>18.239999999999998</c:v>
                </c:pt>
                <c:pt idx="54">
                  <c:v>18.2</c:v>
                </c:pt>
                <c:pt idx="55">
                  <c:v>18.8</c:v>
                </c:pt>
                <c:pt idx="56">
                  <c:v>18.489999999999998</c:v>
                </c:pt>
                <c:pt idx="57">
                  <c:v>18.25</c:v>
                </c:pt>
                <c:pt idx="58">
                  <c:v>18.38</c:v>
                </c:pt>
                <c:pt idx="59">
                  <c:v>18.420000000000002</c:v>
                </c:pt>
                <c:pt idx="60">
                  <c:v>18.350000000000001</c:v>
                </c:pt>
                <c:pt idx="61">
                  <c:v>18.39</c:v>
                </c:pt>
                <c:pt idx="62">
                  <c:v>18.2</c:v>
                </c:pt>
                <c:pt idx="63">
                  <c:v>17.89</c:v>
                </c:pt>
                <c:pt idx="64">
                  <c:v>18.059999999999999</c:v>
                </c:pt>
                <c:pt idx="65">
                  <c:v>14.95</c:v>
                </c:pt>
                <c:pt idx="66">
                  <c:v>15.54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655280"/>
        <c:axId val="647655672"/>
      </c:lineChart>
      <c:dateAx>
        <c:axId val="64765528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655672"/>
        <c:crosses val="autoZero"/>
        <c:auto val="1"/>
        <c:lblOffset val="100"/>
        <c:baseTimeUnit val="days"/>
      </c:dateAx>
      <c:valAx>
        <c:axId val="64765567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65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29.63</c:v>
                </c:pt>
                <c:pt idx="1">
                  <c:v>30.67</c:v>
                </c:pt>
                <c:pt idx="2">
                  <c:v>32.06</c:v>
                </c:pt>
                <c:pt idx="3">
                  <c:v>31.8</c:v>
                </c:pt>
                <c:pt idx="4">
                  <c:v>32.22</c:v>
                </c:pt>
                <c:pt idx="5">
                  <c:v>33.29</c:v>
                </c:pt>
                <c:pt idx="6">
                  <c:v>32.99</c:v>
                </c:pt>
                <c:pt idx="7">
                  <c:v>33.229999999999997</c:v>
                </c:pt>
                <c:pt idx="8">
                  <c:v>34.22</c:v>
                </c:pt>
                <c:pt idx="9">
                  <c:v>34.01</c:v>
                </c:pt>
                <c:pt idx="10">
                  <c:v>33.94</c:v>
                </c:pt>
                <c:pt idx="11">
                  <c:v>33.51</c:v>
                </c:pt>
                <c:pt idx="12">
                  <c:v>33.07</c:v>
                </c:pt>
                <c:pt idx="13">
                  <c:v>33.21</c:v>
                </c:pt>
                <c:pt idx="15">
                  <c:v>33.479999999999997</c:v>
                </c:pt>
                <c:pt idx="16">
                  <c:v>33.49</c:v>
                </c:pt>
                <c:pt idx="17">
                  <c:v>32.840000000000003</c:v>
                </c:pt>
                <c:pt idx="18">
                  <c:v>33.08</c:v>
                </c:pt>
                <c:pt idx="19">
                  <c:v>33.69</c:v>
                </c:pt>
                <c:pt idx="20">
                  <c:v>34.020000000000003</c:v>
                </c:pt>
                <c:pt idx="21">
                  <c:v>34.1</c:v>
                </c:pt>
                <c:pt idx="22">
                  <c:v>33.44</c:v>
                </c:pt>
                <c:pt idx="23">
                  <c:v>33.96</c:v>
                </c:pt>
                <c:pt idx="24">
                  <c:v>33.6</c:v>
                </c:pt>
                <c:pt idx="25">
                  <c:v>33.36</c:v>
                </c:pt>
                <c:pt idx="26">
                  <c:v>33.74</c:v>
                </c:pt>
                <c:pt idx="27">
                  <c:v>33.47</c:v>
                </c:pt>
                <c:pt idx="28">
                  <c:v>33.39</c:v>
                </c:pt>
                <c:pt idx="29">
                  <c:v>33.53</c:v>
                </c:pt>
                <c:pt idx="30">
                  <c:v>34.090000000000003</c:v>
                </c:pt>
                <c:pt idx="31">
                  <c:v>34.26</c:v>
                </c:pt>
                <c:pt idx="32">
                  <c:v>34.909999999999997</c:v>
                </c:pt>
                <c:pt idx="33">
                  <c:v>34.840000000000003</c:v>
                </c:pt>
                <c:pt idx="34">
                  <c:v>34.1</c:v>
                </c:pt>
                <c:pt idx="35">
                  <c:v>33.520000000000003</c:v>
                </c:pt>
                <c:pt idx="36">
                  <c:v>33.07</c:v>
                </c:pt>
                <c:pt idx="37">
                  <c:v>33.19</c:v>
                </c:pt>
                <c:pt idx="38">
                  <c:v>32.92</c:v>
                </c:pt>
                <c:pt idx="39">
                  <c:v>33.11</c:v>
                </c:pt>
                <c:pt idx="40">
                  <c:v>33.21</c:v>
                </c:pt>
                <c:pt idx="41">
                  <c:v>33.24</c:v>
                </c:pt>
                <c:pt idx="42">
                  <c:v>33.72</c:v>
                </c:pt>
                <c:pt idx="43">
                  <c:v>34.51</c:v>
                </c:pt>
                <c:pt idx="44">
                  <c:v>34.590000000000003</c:v>
                </c:pt>
                <c:pt idx="45">
                  <c:v>34.68</c:v>
                </c:pt>
                <c:pt idx="46">
                  <c:v>35.17</c:v>
                </c:pt>
                <c:pt idx="47">
                  <c:v>35.08</c:v>
                </c:pt>
                <c:pt idx="48">
                  <c:v>34.979999999999997</c:v>
                </c:pt>
                <c:pt idx="49">
                  <c:v>35.21</c:v>
                </c:pt>
                <c:pt idx="50">
                  <c:v>35.49</c:v>
                </c:pt>
                <c:pt idx="51">
                  <c:v>35.880000000000003</c:v>
                </c:pt>
                <c:pt idx="52">
                  <c:v>35.94</c:v>
                </c:pt>
                <c:pt idx="53">
                  <c:v>35.96</c:v>
                </c:pt>
                <c:pt idx="54">
                  <c:v>34.72</c:v>
                </c:pt>
                <c:pt idx="55">
                  <c:v>34.42</c:v>
                </c:pt>
                <c:pt idx="56">
                  <c:v>34.22</c:v>
                </c:pt>
                <c:pt idx="57">
                  <c:v>34.78</c:v>
                </c:pt>
                <c:pt idx="58">
                  <c:v>34.19</c:v>
                </c:pt>
                <c:pt idx="59">
                  <c:v>33.630000000000003</c:v>
                </c:pt>
                <c:pt idx="60">
                  <c:v>33.07</c:v>
                </c:pt>
                <c:pt idx="61">
                  <c:v>32.93</c:v>
                </c:pt>
                <c:pt idx="62">
                  <c:v>33.299999999999997</c:v>
                </c:pt>
                <c:pt idx="63">
                  <c:v>33.36</c:v>
                </c:pt>
                <c:pt idx="64">
                  <c:v>32.299999999999997</c:v>
                </c:pt>
                <c:pt idx="65">
                  <c:v>33.1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215160"/>
        <c:axId val="648215552"/>
      </c:lineChart>
      <c:dateAx>
        <c:axId val="648215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15552"/>
        <c:crosses val="autoZero"/>
        <c:auto val="1"/>
        <c:lblOffset val="100"/>
        <c:baseTimeUnit val="days"/>
      </c:dateAx>
      <c:valAx>
        <c:axId val="64821555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1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12.65</c:v>
                </c:pt>
                <c:pt idx="1">
                  <c:v>12.66</c:v>
                </c:pt>
                <c:pt idx="2">
                  <c:v>12.69</c:v>
                </c:pt>
                <c:pt idx="3">
                  <c:v>12.53</c:v>
                </c:pt>
                <c:pt idx="4">
                  <c:v>12.66</c:v>
                </c:pt>
                <c:pt idx="5">
                  <c:v>12.47</c:v>
                </c:pt>
                <c:pt idx="6">
                  <c:v>12.56</c:v>
                </c:pt>
                <c:pt idx="7">
                  <c:v>12.67</c:v>
                </c:pt>
                <c:pt idx="8">
                  <c:v>12.69</c:v>
                </c:pt>
                <c:pt idx="9">
                  <c:v>12.58</c:v>
                </c:pt>
                <c:pt idx="10">
                  <c:v>12.54</c:v>
                </c:pt>
                <c:pt idx="11">
                  <c:v>12.63</c:v>
                </c:pt>
                <c:pt idx="12">
                  <c:v>12.65</c:v>
                </c:pt>
                <c:pt idx="13">
                  <c:v>12.56</c:v>
                </c:pt>
                <c:pt idx="14">
                  <c:v>12.51</c:v>
                </c:pt>
                <c:pt idx="15">
                  <c:v>12.38</c:v>
                </c:pt>
                <c:pt idx="16">
                  <c:v>12.38</c:v>
                </c:pt>
                <c:pt idx="17">
                  <c:v>12.34</c:v>
                </c:pt>
                <c:pt idx="18">
                  <c:v>12.52</c:v>
                </c:pt>
                <c:pt idx="19">
                  <c:v>12.56</c:v>
                </c:pt>
                <c:pt idx="20">
                  <c:v>12.28</c:v>
                </c:pt>
                <c:pt idx="21">
                  <c:v>12.32</c:v>
                </c:pt>
                <c:pt idx="22">
                  <c:v>12.36</c:v>
                </c:pt>
                <c:pt idx="23">
                  <c:v>12.37</c:v>
                </c:pt>
                <c:pt idx="24">
                  <c:v>12.49</c:v>
                </c:pt>
                <c:pt idx="25">
                  <c:v>12.37</c:v>
                </c:pt>
                <c:pt idx="26">
                  <c:v>12.79</c:v>
                </c:pt>
                <c:pt idx="27">
                  <c:v>12.61</c:v>
                </c:pt>
                <c:pt idx="28">
                  <c:v>12.31</c:v>
                </c:pt>
                <c:pt idx="29">
                  <c:v>12.36</c:v>
                </c:pt>
                <c:pt idx="30">
                  <c:v>12.43</c:v>
                </c:pt>
                <c:pt idx="31">
                  <c:v>12.41</c:v>
                </c:pt>
                <c:pt idx="33">
                  <c:v>12.61</c:v>
                </c:pt>
                <c:pt idx="34">
                  <c:v>12.63</c:v>
                </c:pt>
                <c:pt idx="35">
                  <c:v>12.59</c:v>
                </c:pt>
                <c:pt idx="36">
                  <c:v>12.67</c:v>
                </c:pt>
                <c:pt idx="37">
                  <c:v>12.85</c:v>
                </c:pt>
                <c:pt idx="38">
                  <c:v>12.63</c:v>
                </c:pt>
                <c:pt idx="39">
                  <c:v>12.76</c:v>
                </c:pt>
                <c:pt idx="40">
                  <c:v>12.77</c:v>
                </c:pt>
                <c:pt idx="41">
                  <c:v>13.17</c:v>
                </c:pt>
                <c:pt idx="42">
                  <c:v>12.59</c:v>
                </c:pt>
                <c:pt idx="43">
                  <c:v>12.13</c:v>
                </c:pt>
                <c:pt idx="44">
                  <c:v>12.23</c:v>
                </c:pt>
                <c:pt idx="45">
                  <c:v>12.25</c:v>
                </c:pt>
                <c:pt idx="46">
                  <c:v>12.39</c:v>
                </c:pt>
                <c:pt idx="47">
                  <c:v>12.46</c:v>
                </c:pt>
                <c:pt idx="48">
                  <c:v>12.4</c:v>
                </c:pt>
                <c:pt idx="49">
                  <c:v>12.64</c:v>
                </c:pt>
                <c:pt idx="50">
                  <c:v>12.78</c:v>
                </c:pt>
                <c:pt idx="51">
                  <c:v>12.66</c:v>
                </c:pt>
                <c:pt idx="52">
                  <c:v>12.63</c:v>
                </c:pt>
                <c:pt idx="53">
                  <c:v>12.58</c:v>
                </c:pt>
                <c:pt idx="54">
                  <c:v>12.53</c:v>
                </c:pt>
                <c:pt idx="55">
                  <c:v>12.77</c:v>
                </c:pt>
                <c:pt idx="56">
                  <c:v>12.82</c:v>
                </c:pt>
                <c:pt idx="57">
                  <c:v>13.17</c:v>
                </c:pt>
                <c:pt idx="58">
                  <c:v>13.03</c:v>
                </c:pt>
                <c:pt idx="59">
                  <c:v>13.06</c:v>
                </c:pt>
                <c:pt idx="60">
                  <c:v>12.56</c:v>
                </c:pt>
                <c:pt idx="61">
                  <c:v>12.44</c:v>
                </c:pt>
                <c:pt idx="62">
                  <c:v>12.24</c:v>
                </c:pt>
                <c:pt idx="63">
                  <c:v>12.43</c:v>
                </c:pt>
                <c:pt idx="64">
                  <c:v>11.96</c:v>
                </c:pt>
                <c:pt idx="65">
                  <c:v>11.92</c:v>
                </c:pt>
                <c:pt idx="66">
                  <c:v>11.92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217120"/>
        <c:axId val="648217512"/>
      </c:lineChart>
      <c:dateAx>
        <c:axId val="648217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17512"/>
        <c:crosses val="autoZero"/>
        <c:auto val="1"/>
        <c:lblOffset val="100"/>
        <c:baseTimeUnit val="days"/>
      </c:dateAx>
      <c:valAx>
        <c:axId val="648217512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1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42790</c:v>
                </c:pt>
                <c:pt idx="7">
                  <c:v>42789</c:v>
                </c:pt>
                <c:pt idx="8">
                  <c:v>42788</c:v>
                </c:pt>
                <c:pt idx="9">
                  <c:v>42787</c:v>
                </c:pt>
                <c:pt idx="10">
                  <c:v>42783</c:v>
                </c:pt>
                <c:pt idx="11">
                  <c:v>42782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123.79</c:v>
                </c:pt>
                <c:pt idx="1">
                  <c:v>123.63</c:v>
                </c:pt>
                <c:pt idx="2">
                  <c:v>123.86</c:v>
                </c:pt>
                <c:pt idx="3">
                  <c:v>122.21</c:v>
                </c:pt>
                <c:pt idx="4">
                  <c:v>122.4</c:v>
                </c:pt>
                <c:pt idx="5">
                  <c:v>122.73</c:v>
                </c:pt>
                <c:pt idx="7">
                  <c:v>121.7</c:v>
                </c:pt>
                <c:pt idx="8">
                  <c:v>119.52</c:v>
                </c:pt>
                <c:pt idx="9">
                  <c:v>119.66</c:v>
                </c:pt>
                <c:pt idx="10">
                  <c:v>118.86</c:v>
                </c:pt>
                <c:pt idx="11">
                  <c:v>118.08</c:v>
                </c:pt>
                <c:pt idx="12">
                  <c:v>117.2</c:v>
                </c:pt>
                <c:pt idx="13">
                  <c:v>116.36</c:v>
                </c:pt>
                <c:pt idx="14">
                  <c:v>115.88</c:v>
                </c:pt>
                <c:pt idx="15">
                  <c:v>115.24</c:v>
                </c:pt>
                <c:pt idx="16">
                  <c:v>114.08</c:v>
                </c:pt>
                <c:pt idx="17">
                  <c:v>113.4</c:v>
                </c:pt>
                <c:pt idx="18">
                  <c:v>113.48</c:v>
                </c:pt>
                <c:pt idx="19">
                  <c:v>113.4</c:v>
                </c:pt>
                <c:pt idx="20">
                  <c:v>113.64</c:v>
                </c:pt>
                <c:pt idx="21">
                  <c:v>113.57</c:v>
                </c:pt>
                <c:pt idx="22">
                  <c:v>113.23</c:v>
                </c:pt>
                <c:pt idx="23">
                  <c:v>113.25</c:v>
                </c:pt>
                <c:pt idx="24">
                  <c:v>113.13</c:v>
                </c:pt>
                <c:pt idx="25">
                  <c:v>113.38</c:v>
                </c:pt>
                <c:pt idx="26">
                  <c:v>111.84</c:v>
                </c:pt>
                <c:pt idx="27">
                  <c:v>112.8</c:v>
                </c:pt>
                <c:pt idx="28">
                  <c:v>111.76</c:v>
                </c:pt>
                <c:pt idx="29">
                  <c:v>113.91</c:v>
                </c:pt>
                <c:pt idx="30">
                  <c:v>114.15</c:v>
                </c:pt>
                <c:pt idx="31">
                  <c:v>114.2</c:v>
                </c:pt>
                <c:pt idx="32">
                  <c:v>114.7</c:v>
                </c:pt>
                <c:pt idx="33">
                  <c:v>114.87</c:v>
                </c:pt>
                <c:pt idx="34">
                  <c:v>114.6</c:v>
                </c:pt>
                <c:pt idx="35">
                  <c:v>114.62</c:v>
                </c:pt>
                <c:pt idx="36">
                  <c:v>114.73</c:v>
                </c:pt>
                <c:pt idx="37">
                  <c:v>116.16</c:v>
                </c:pt>
                <c:pt idx="38">
                  <c:v>116.28</c:v>
                </c:pt>
                <c:pt idx="39">
                  <c:v>116.3</c:v>
                </c:pt>
                <c:pt idx="40">
                  <c:v>116.86</c:v>
                </c:pt>
                <c:pt idx="41">
                  <c:v>115.65</c:v>
                </c:pt>
                <c:pt idx="42">
                  <c:v>115.84</c:v>
                </c:pt>
                <c:pt idx="43">
                  <c:v>115.21</c:v>
                </c:pt>
                <c:pt idx="44">
                  <c:v>115.49</c:v>
                </c:pt>
                <c:pt idx="45">
                  <c:v>115.1</c:v>
                </c:pt>
                <c:pt idx="46">
                  <c:v>115.91</c:v>
                </c:pt>
                <c:pt idx="47">
                  <c:v>115.96</c:v>
                </c:pt>
                <c:pt idx="48">
                  <c:v>115.44</c:v>
                </c:pt>
                <c:pt idx="49">
                  <c:v>115.31</c:v>
                </c:pt>
                <c:pt idx="50">
                  <c:v>115.66</c:v>
                </c:pt>
                <c:pt idx="51">
                  <c:v>116.02</c:v>
                </c:pt>
                <c:pt idx="52">
                  <c:v>115.88</c:v>
                </c:pt>
                <c:pt idx="53">
                  <c:v>115.89</c:v>
                </c:pt>
                <c:pt idx="54">
                  <c:v>114.99</c:v>
                </c:pt>
                <c:pt idx="55">
                  <c:v>115.89</c:v>
                </c:pt>
                <c:pt idx="56">
                  <c:v>115.36</c:v>
                </c:pt>
                <c:pt idx="57">
                  <c:v>112.26</c:v>
                </c:pt>
                <c:pt idx="58">
                  <c:v>110.99</c:v>
                </c:pt>
                <c:pt idx="59">
                  <c:v>111.1</c:v>
                </c:pt>
                <c:pt idx="60">
                  <c:v>112.06</c:v>
                </c:pt>
                <c:pt idx="61">
                  <c:v>111.94</c:v>
                </c:pt>
                <c:pt idx="62">
                  <c:v>111.96</c:v>
                </c:pt>
                <c:pt idx="63">
                  <c:v>111.38</c:v>
                </c:pt>
                <c:pt idx="64">
                  <c:v>111.3</c:v>
                </c:pt>
                <c:pt idx="65">
                  <c:v>112.48</c:v>
                </c:pt>
                <c:pt idx="66">
                  <c:v>113.13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219472"/>
        <c:axId val="648219864"/>
      </c:lineChart>
      <c:dateAx>
        <c:axId val="648219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19864"/>
        <c:crosses val="autoZero"/>
        <c:auto val="1"/>
        <c:lblOffset val="100"/>
        <c:baseTimeUnit val="days"/>
      </c:dateAx>
      <c:valAx>
        <c:axId val="64821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1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42803</c:v>
                </c:pt>
                <c:pt idx="1">
                  <c:v>42802</c:v>
                </c:pt>
                <c:pt idx="2">
                  <c:v>42801</c:v>
                </c:pt>
                <c:pt idx="3">
                  <c:v>42800</c:v>
                </c:pt>
                <c:pt idx="4">
                  <c:v>42797</c:v>
                </c:pt>
                <c:pt idx="5">
                  <c:v>42796</c:v>
                </c:pt>
                <c:pt idx="6">
                  <c:v>42795</c:v>
                </c:pt>
                <c:pt idx="7">
                  <c:v>42794</c:v>
                </c:pt>
                <c:pt idx="8">
                  <c:v>42793</c:v>
                </c:pt>
                <c:pt idx="9">
                  <c:v>42790</c:v>
                </c:pt>
                <c:pt idx="10">
                  <c:v>42789</c:v>
                </c:pt>
                <c:pt idx="11">
                  <c:v>42788</c:v>
                </c:pt>
                <c:pt idx="12">
                  <c:v>42787</c:v>
                </c:pt>
                <c:pt idx="13">
                  <c:v>42783</c:v>
                </c:pt>
                <c:pt idx="14">
                  <c:v>42782</c:v>
                </c:pt>
                <c:pt idx="15">
                  <c:v>42781</c:v>
                </c:pt>
                <c:pt idx="16">
                  <c:v>42780</c:v>
                </c:pt>
                <c:pt idx="17">
                  <c:v>42779</c:v>
                </c:pt>
                <c:pt idx="18">
                  <c:v>42776</c:v>
                </c:pt>
                <c:pt idx="19">
                  <c:v>42775</c:v>
                </c:pt>
                <c:pt idx="20">
                  <c:v>42774</c:v>
                </c:pt>
                <c:pt idx="21">
                  <c:v>42773</c:v>
                </c:pt>
                <c:pt idx="22">
                  <c:v>42772</c:v>
                </c:pt>
                <c:pt idx="23">
                  <c:v>42769</c:v>
                </c:pt>
                <c:pt idx="24">
                  <c:v>42768</c:v>
                </c:pt>
                <c:pt idx="25">
                  <c:v>42767</c:v>
                </c:pt>
                <c:pt idx="26">
                  <c:v>42766</c:v>
                </c:pt>
                <c:pt idx="27">
                  <c:v>42765</c:v>
                </c:pt>
                <c:pt idx="28">
                  <c:v>42762</c:v>
                </c:pt>
                <c:pt idx="29">
                  <c:v>42761</c:v>
                </c:pt>
                <c:pt idx="30">
                  <c:v>42760</c:v>
                </c:pt>
                <c:pt idx="31">
                  <c:v>42759</c:v>
                </c:pt>
                <c:pt idx="32">
                  <c:v>42758</c:v>
                </c:pt>
                <c:pt idx="33">
                  <c:v>42755</c:v>
                </c:pt>
                <c:pt idx="34">
                  <c:v>42754</c:v>
                </c:pt>
                <c:pt idx="35">
                  <c:v>42753</c:v>
                </c:pt>
                <c:pt idx="36">
                  <c:v>42752</c:v>
                </c:pt>
                <c:pt idx="37">
                  <c:v>42748</c:v>
                </c:pt>
                <c:pt idx="38">
                  <c:v>42747</c:v>
                </c:pt>
                <c:pt idx="39">
                  <c:v>42746</c:v>
                </c:pt>
                <c:pt idx="40">
                  <c:v>42745</c:v>
                </c:pt>
                <c:pt idx="41">
                  <c:v>42744</c:v>
                </c:pt>
                <c:pt idx="42">
                  <c:v>42741</c:v>
                </c:pt>
                <c:pt idx="43">
                  <c:v>42740</c:v>
                </c:pt>
                <c:pt idx="44">
                  <c:v>42739</c:v>
                </c:pt>
                <c:pt idx="45">
                  <c:v>42738</c:v>
                </c:pt>
                <c:pt idx="46">
                  <c:v>42734</c:v>
                </c:pt>
                <c:pt idx="47">
                  <c:v>42733</c:v>
                </c:pt>
                <c:pt idx="48">
                  <c:v>42732</c:v>
                </c:pt>
                <c:pt idx="49">
                  <c:v>42731</c:v>
                </c:pt>
                <c:pt idx="50">
                  <c:v>42727</c:v>
                </c:pt>
                <c:pt idx="51">
                  <c:v>42726</c:v>
                </c:pt>
                <c:pt idx="52">
                  <c:v>42725</c:v>
                </c:pt>
                <c:pt idx="53">
                  <c:v>42724</c:v>
                </c:pt>
                <c:pt idx="54">
                  <c:v>42723</c:v>
                </c:pt>
                <c:pt idx="55">
                  <c:v>42720</c:v>
                </c:pt>
                <c:pt idx="56">
                  <c:v>42719</c:v>
                </c:pt>
                <c:pt idx="57">
                  <c:v>42718</c:v>
                </c:pt>
                <c:pt idx="58">
                  <c:v>42717</c:v>
                </c:pt>
                <c:pt idx="59">
                  <c:v>42716</c:v>
                </c:pt>
                <c:pt idx="60">
                  <c:v>42713</c:v>
                </c:pt>
                <c:pt idx="61">
                  <c:v>42712</c:v>
                </c:pt>
                <c:pt idx="62">
                  <c:v>42711</c:v>
                </c:pt>
                <c:pt idx="63">
                  <c:v>42710</c:v>
                </c:pt>
                <c:pt idx="64">
                  <c:v>42709</c:v>
                </c:pt>
                <c:pt idx="65">
                  <c:v>42706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11.08</c:v>
                </c:pt>
                <c:pt idx="1">
                  <c:v>10.97</c:v>
                </c:pt>
                <c:pt idx="2">
                  <c:v>11.24</c:v>
                </c:pt>
                <c:pt idx="3">
                  <c:v>11.69</c:v>
                </c:pt>
                <c:pt idx="4">
                  <c:v>11.86</c:v>
                </c:pt>
                <c:pt idx="5">
                  <c:v>11.86</c:v>
                </c:pt>
                <c:pt idx="6">
                  <c:v>11.62</c:v>
                </c:pt>
                <c:pt idx="7">
                  <c:v>11.71</c:v>
                </c:pt>
                <c:pt idx="8">
                  <c:v>11.7</c:v>
                </c:pt>
                <c:pt idx="9">
                  <c:v>11.76</c:v>
                </c:pt>
                <c:pt idx="10">
                  <c:v>11.8</c:v>
                </c:pt>
                <c:pt idx="11">
                  <c:v>11.79</c:v>
                </c:pt>
                <c:pt idx="12">
                  <c:v>11.74</c:v>
                </c:pt>
                <c:pt idx="13">
                  <c:v>11.47</c:v>
                </c:pt>
                <c:pt idx="14">
                  <c:v>11.56</c:v>
                </c:pt>
                <c:pt idx="15">
                  <c:v>11.69</c:v>
                </c:pt>
                <c:pt idx="16">
                  <c:v>11.36</c:v>
                </c:pt>
                <c:pt idx="17">
                  <c:v>11.71</c:v>
                </c:pt>
                <c:pt idx="18">
                  <c:v>11.65</c:v>
                </c:pt>
                <c:pt idx="19">
                  <c:v>11.08</c:v>
                </c:pt>
                <c:pt idx="20">
                  <c:v>11.42</c:v>
                </c:pt>
                <c:pt idx="21">
                  <c:v>11.1</c:v>
                </c:pt>
                <c:pt idx="22">
                  <c:v>11.12</c:v>
                </c:pt>
                <c:pt idx="23">
                  <c:v>11.65</c:v>
                </c:pt>
                <c:pt idx="24">
                  <c:v>11.51</c:v>
                </c:pt>
                <c:pt idx="25">
                  <c:v>11.47</c:v>
                </c:pt>
                <c:pt idx="26">
                  <c:v>11.8</c:v>
                </c:pt>
                <c:pt idx="27">
                  <c:v>11.55</c:v>
                </c:pt>
                <c:pt idx="28">
                  <c:v>11.77</c:v>
                </c:pt>
                <c:pt idx="29">
                  <c:v>11.77</c:v>
                </c:pt>
                <c:pt idx="30">
                  <c:v>11.81</c:v>
                </c:pt>
                <c:pt idx="31">
                  <c:v>11.84</c:v>
                </c:pt>
                <c:pt idx="32">
                  <c:v>11.71</c:v>
                </c:pt>
                <c:pt idx="33">
                  <c:v>12.07</c:v>
                </c:pt>
                <c:pt idx="34">
                  <c:v>12.19</c:v>
                </c:pt>
                <c:pt idx="35">
                  <c:v>12.2</c:v>
                </c:pt>
                <c:pt idx="36">
                  <c:v>12.41</c:v>
                </c:pt>
                <c:pt idx="37">
                  <c:v>12.23</c:v>
                </c:pt>
                <c:pt idx="38">
                  <c:v>12.13</c:v>
                </c:pt>
                <c:pt idx="39">
                  <c:v>12.12</c:v>
                </c:pt>
                <c:pt idx="40">
                  <c:v>11.85</c:v>
                </c:pt>
                <c:pt idx="41">
                  <c:v>11.83</c:v>
                </c:pt>
                <c:pt idx="42">
                  <c:v>12.07</c:v>
                </c:pt>
                <c:pt idx="43">
                  <c:v>11.66</c:v>
                </c:pt>
                <c:pt idx="44">
                  <c:v>11.7</c:v>
                </c:pt>
                <c:pt idx="45">
                  <c:v>11.45</c:v>
                </c:pt>
                <c:pt idx="46">
                  <c:v>11.43</c:v>
                </c:pt>
                <c:pt idx="47">
                  <c:v>11.64</c:v>
                </c:pt>
                <c:pt idx="48">
                  <c:v>11.46</c:v>
                </c:pt>
                <c:pt idx="49">
                  <c:v>11.71</c:v>
                </c:pt>
                <c:pt idx="50">
                  <c:v>11.64</c:v>
                </c:pt>
                <c:pt idx="51">
                  <c:v>11.54</c:v>
                </c:pt>
                <c:pt idx="52">
                  <c:v>11.51</c:v>
                </c:pt>
                <c:pt idx="53">
                  <c:v>11.47</c:v>
                </c:pt>
                <c:pt idx="54">
                  <c:v>11.67</c:v>
                </c:pt>
                <c:pt idx="55">
                  <c:v>11.56</c:v>
                </c:pt>
                <c:pt idx="56">
                  <c:v>11.5</c:v>
                </c:pt>
                <c:pt idx="57">
                  <c:v>11.36</c:v>
                </c:pt>
                <c:pt idx="58">
                  <c:v>11.56</c:v>
                </c:pt>
                <c:pt idx="59">
                  <c:v>11.43</c:v>
                </c:pt>
                <c:pt idx="60">
                  <c:v>11.66</c:v>
                </c:pt>
                <c:pt idx="61">
                  <c:v>11.28</c:v>
                </c:pt>
                <c:pt idx="62">
                  <c:v>11.06</c:v>
                </c:pt>
                <c:pt idx="63">
                  <c:v>11.1</c:v>
                </c:pt>
                <c:pt idx="64">
                  <c:v>10.83</c:v>
                </c:pt>
                <c:pt idx="65">
                  <c:v>10.5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221824"/>
        <c:axId val="648222216"/>
      </c:lineChart>
      <c:dateAx>
        <c:axId val="6482218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22216"/>
        <c:crosses val="autoZero"/>
        <c:auto val="1"/>
        <c:lblOffset val="100"/>
        <c:baseTimeUnit val="days"/>
      </c:dateAx>
      <c:valAx>
        <c:axId val="64822221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21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92.44</c:v>
                </c:pt>
                <c:pt idx="1">
                  <c:v>93.36</c:v>
                </c:pt>
                <c:pt idx="2">
                  <c:v>93.94</c:v>
                </c:pt>
                <c:pt idx="3">
                  <c:v>94.04</c:v>
                </c:pt>
                <c:pt idx="4">
                  <c:v>94.66</c:v>
                </c:pt>
                <c:pt idx="5">
                  <c:v>94.76</c:v>
                </c:pt>
                <c:pt idx="6">
                  <c:v>95.7</c:v>
                </c:pt>
                <c:pt idx="7">
                  <c:v>92.21</c:v>
                </c:pt>
                <c:pt idx="8">
                  <c:v>92.67</c:v>
                </c:pt>
                <c:pt idx="9">
                  <c:v>89.74</c:v>
                </c:pt>
                <c:pt idx="10">
                  <c:v>89.93</c:v>
                </c:pt>
                <c:pt idx="11">
                  <c:v>90.31</c:v>
                </c:pt>
                <c:pt idx="12">
                  <c:v>89.49</c:v>
                </c:pt>
                <c:pt idx="13">
                  <c:v>89.96</c:v>
                </c:pt>
                <c:pt idx="14">
                  <c:v>90.34</c:v>
                </c:pt>
                <c:pt idx="15">
                  <c:v>90.82</c:v>
                </c:pt>
                <c:pt idx="16">
                  <c:v>90.83</c:v>
                </c:pt>
                <c:pt idx="17">
                  <c:v>90.71</c:v>
                </c:pt>
                <c:pt idx="18">
                  <c:v>89.87</c:v>
                </c:pt>
                <c:pt idx="19">
                  <c:v>90.47</c:v>
                </c:pt>
                <c:pt idx="20">
                  <c:v>89.73</c:v>
                </c:pt>
                <c:pt idx="21">
                  <c:v>98.02</c:v>
                </c:pt>
                <c:pt idx="22">
                  <c:v>96.24</c:v>
                </c:pt>
                <c:pt idx="23">
                  <c:v>96.47</c:v>
                </c:pt>
                <c:pt idx="24">
                  <c:v>97.3</c:v>
                </c:pt>
                <c:pt idx="25">
                  <c:v>95.13</c:v>
                </c:pt>
                <c:pt idx="26">
                  <c:v>96.05</c:v>
                </c:pt>
                <c:pt idx="27">
                  <c:v>94.4</c:v>
                </c:pt>
                <c:pt idx="28">
                  <c:v>95</c:v>
                </c:pt>
                <c:pt idx="29">
                  <c:v>95.51</c:v>
                </c:pt>
                <c:pt idx="30">
                  <c:v>96.29</c:v>
                </c:pt>
                <c:pt idx="31">
                  <c:v>95.79</c:v>
                </c:pt>
                <c:pt idx="32">
                  <c:v>96.88</c:v>
                </c:pt>
                <c:pt idx="33">
                  <c:v>97.13</c:v>
                </c:pt>
                <c:pt idx="34">
                  <c:v>97.59</c:v>
                </c:pt>
                <c:pt idx="35">
                  <c:v>98.65</c:v>
                </c:pt>
                <c:pt idx="36">
                  <c:v>99.14</c:v>
                </c:pt>
                <c:pt idx="37">
                  <c:v>97.95</c:v>
                </c:pt>
                <c:pt idx="38">
                  <c:v>97.07</c:v>
                </c:pt>
                <c:pt idx="39">
                  <c:v>97.19</c:v>
                </c:pt>
                <c:pt idx="40">
                  <c:v>96.54</c:v>
                </c:pt>
                <c:pt idx="41">
                  <c:v>95.52</c:v>
                </c:pt>
                <c:pt idx="42">
                  <c:v>93.7</c:v>
                </c:pt>
                <c:pt idx="43">
                  <c:v>93.71</c:v>
                </c:pt>
                <c:pt idx="44">
                  <c:v>92.71</c:v>
                </c:pt>
                <c:pt idx="45">
                  <c:v>93.35</c:v>
                </c:pt>
                <c:pt idx="46">
                  <c:v>93</c:v>
                </c:pt>
                <c:pt idx="47">
                  <c:v>91.8</c:v>
                </c:pt>
                <c:pt idx="48">
                  <c:v>91.43</c:v>
                </c:pt>
                <c:pt idx="49">
                  <c:v>90.87</c:v>
                </c:pt>
                <c:pt idx="50">
                  <c:v>91.48</c:v>
                </c:pt>
                <c:pt idx="51">
                  <c:v>91.39</c:v>
                </c:pt>
                <c:pt idx="52">
                  <c:v>90.48</c:v>
                </c:pt>
                <c:pt idx="53">
                  <c:v>89.82</c:v>
                </c:pt>
                <c:pt idx="54">
                  <c:v>89.37</c:v>
                </c:pt>
                <c:pt idx="55">
                  <c:v>88.93</c:v>
                </c:pt>
                <c:pt idx="56">
                  <c:v>90.37</c:v>
                </c:pt>
                <c:pt idx="57">
                  <c:v>89.3</c:v>
                </c:pt>
                <c:pt idx="58">
                  <c:v>83.73</c:v>
                </c:pt>
                <c:pt idx="59">
                  <c:v>83.22</c:v>
                </c:pt>
                <c:pt idx="60">
                  <c:v>82.49</c:v>
                </c:pt>
                <c:pt idx="61">
                  <c:v>83.35</c:v>
                </c:pt>
                <c:pt idx="62">
                  <c:v>81.47</c:v>
                </c:pt>
                <c:pt idx="63">
                  <c:v>82.85</c:v>
                </c:pt>
                <c:pt idx="64">
                  <c:v>83.9</c:v>
                </c:pt>
                <c:pt idx="65">
                  <c:v>84.3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224176"/>
        <c:axId val="648224568"/>
      </c:lineChart>
      <c:dateAx>
        <c:axId val="648224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24568"/>
        <c:crosses val="autoZero"/>
        <c:auto val="1"/>
        <c:lblOffset val="100"/>
        <c:baseTimeUnit val="days"/>
      </c:dateAx>
      <c:valAx>
        <c:axId val="6482245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24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42796</c:v>
                </c:pt>
                <c:pt idx="3">
                  <c:v>42795</c:v>
                </c:pt>
                <c:pt idx="4">
                  <c:v>42794</c:v>
                </c:pt>
                <c:pt idx="5">
                  <c:v>42793</c:v>
                </c:pt>
                <c:pt idx="6">
                  <c:v>42790</c:v>
                </c:pt>
                <c:pt idx="7">
                  <c:v>42789</c:v>
                </c:pt>
                <c:pt idx="8">
                  <c:v>42788</c:v>
                </c:pt>
                <c:pt idx="9">
                  <c:v>42787</c:v>
                </c:pt>
                <c:pt idx="10">
                  <c:v>42783</c:v>
                </c:pt>
                <c:pt idx="11">
                  <c:v>42782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42705</c:v>
                </c:pt>
                <c:pt idx="65">
                  <c:v>42704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56.7</c:v>
                </c:pt>
                <c:pt idx="1">
                  <c:v>57.8</c:v>
                </c:pt>
                <c:pt idx="3">
                  <c:v>57.95</c:v>
                </c:pt>
                <c:pt idx="4">
                  <c:v>57.16</c:v>
                </c:pt>
                <c:pt idx="5">
                  <c:v>57.69</c:v>
                </c:pt>
                <c:pt idx="6">
                  <c:v>57.86</c:v>
                </c:pt>
                <c:pt idx="7">
                  <c:v>57.39</c:v>
                </c:pt>
                <c:pt idx="8">
                  <c:v>58.24</c:v>
                </c:pt>
                <c:pt idx="9">
                  <c:v>57.36</c:v>
                </c:pt>
                <c:pt idx="10">
                  <c:v>56.75</c:v>
                </c:pt>
                <c:pt idx="11">
                  <c:v>56.29</c:v>
                </c:pt>
                <c:pt idx="12">
                  <c:v>56.64</c:v>
                </c:pt>
                <c:pt idx="13">
                  <c:v>56.45</c:v>
                </c:pt>
                <c:pt idx="14">
                  <c:v>56.09</c:v>
                </c:pt>
                <c:pt idx="15">
                  <c:v>56.22</c:v>
                </c:pt>
                <c:pt idx="16">
                  <c:v>55.31</c:v>
                </c:pt>
                <c:pt idx="17">
                  <c:v>53.88</c:v>
                </c:pt>
                <c:pt idx="18">
                  <c:v>52.81</c:v>
                </c:pt>
                <c:pt idx="19">
                  <c:v>52.8</c:v>
                </c:pt>
                <c:pt idx="20">
                  <c:v>52.36</c:v>
                </c:pt>
                <c:pt idx="21">
                  <c:v>52.8</c:v>
                </c:pt>
                <c:pt idx="22">
                  <c:v>53.02</c:v>
                </c:pt>
                <c:pt idx="23">
                  <c:v>52.9</c:v>
                </c:pt>
                <c:pt idx="24">
                  <c:v>53.08</c:v>
                </c:pt>
                <c:pt idx="25">
                  <c:v>53.19</c:v>
                </c:pt>
                <c:pt idx="26">
                  <c:v>53.65</c:v>
                </c:pt>
                <c:pt idx="27">
                  <c:v>53.86</c:v>
                </c:pt>
                <c:pt idx="28">
                  <c:v>53.45</c:v>
                </c:pt>
                <c:pt idx="29">
                  <c:v>53.24</c:v>
                </c:pt>
                <c:pt idx="30">
                  <c:v>53.2</c:v>
                </c:pt>
                <c:pt idx="31">
                  <c:v>52.93</c:v>
                </c:pt>
                <c:pt idx="32">
                  <c:v>53.27</c:v>
                </c:pt>
                <c:pt idx="33">
                  <c:v>53.65</c:v>
                </c:pt>
                <c:pt idx="34">
                  <c:v>52.92</c:v>
                </c:pt>
                <c:pt idx="35">
                  <c:v>52.4</c:v>
                </c:pt>
                <c:pt idx="36">
                  <c:v>52.69</c:v>
                </c:pt>
                <c:pt idx="37">
                  <c:v>53.11</c:v>
                </c:pt>
                <c:pt idx="38">
                  <c:v>53.38</c:v>
                </c:pt>
                <c:pt idx="39">
                  <c:v>53.91</c:v>
                </c:pt>
                <c:pt idx="40">
                  <c:v>53.06</c:v>
                </c:pt>
                <c:pt idx="41">
                  <c:v>53.07</c:v>
                </c:pt>
                <c:pt idx="42">
                  <c:v>51.98</c:v>
                </c:pt>
                <c:pt idx="43">
                  <c:v>50.83</c:v>
                </c:pt>
                <c:pt idx="44">
                  <c:v>51.06</c:v>
                </c:pt>
                <c:pt idx="45">
                  <c:v>51.02</c:v>
                </c:pt>
                <c:pt idx="46">
                  <c:v>51.29</c:v>
                </c:pt>
                <c:pt idx="47">
                  <c:v>51.91</c:v>
                </c:pt>
                <c:pt idx="48">
                  <c:v>52.14</c:v>
                </c:pt>
                <c:pt idx="49">
                  <c:v>52.3</c:v>
                </c:pt>
                <c:pt idx="50">
                  <c:v>51.79</c:v>
                </c:pt>
                <c:pt idx="51">
                  <c:v>50.85</c:v>
                </c:pt>
                <c:pt idx="52">
                  <c:v>50.92</c:v>
                </c:pt>
                <c:pt idx="53">
                  <c:v>51.29</c:v>
                </c:pt>
                <c:pt idx="54">
                  <c:v>51.79</c:v>
                </c:pt>
                <c:pt idx="55">
                  <c:v>52.3</c:v>
                </c:pt>
                <c:pt idx="56">
                  <c:v>51.54</c:v>
                </c:pt>
                <c:pt idx="57">
                  <c:v>51.72</c:v>
                </c:pt>
                <c:pt idx="58">
                  <c:v>51.55</c:v>
                </c:pt>
                <c:pt idx="59">
                  <c:v>52.1</c:v>
                </c:pt>
                <c:pt idx="60">
                  <c:v>50.57</c:v>
                </c:pt>
                <c:pt idx="61">
                  <c:v>51.85</c:v>
                </c:pt>
                <c:pt idx="62">
                  <c:v>50.46</c:v>
                </c:pt>
                <c:pt idx="63">
                  <c:v>50.65</c:v>
                </c:pt>
                <c:pt idx="65">
                  <c:v>50.07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226528"/>
        <c:axId val="648226920"/>
      </c:lineChart>
      <c:dateAx>
        <c:axId val="648226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26920"/>
        <c:crosses val="autoZero"/>
        <c:auto val="1"/>
        <c:lblOffset val="100"/>
        <c:baseTimeUnit val="days"/>
      </c:dateAx>
      <c:valAx>
        <c:axId val="64822692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26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42794</c:v>
                </c:pt>
                <c:pt idx="5">
                  <c:v>42793</c:v>
                </c:pt>
                <c:pt idx="6">
                  <c:v>42790</c:v>
                </c:pt>
                <c:pt idx="7">
                  <c:v>42789</c:v>
                </c:pt>
                <c:pt idx="8">
                  <c:v>42788</c:v>
                </c:pt>
                <c:pt idx="9">
                  <c:v>42787</c:v>
                </c:pt>
                <c:pt idx="10">
                  <c:v>42783</c:v>
                </c:pt>
                <c:pt idx="11">
                  <c:v>42782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MOS!$AA$2:$AA$70</c:f>
              <c:numCache>
                <c:formatCode>General</c:formatCode>
                <c:ptCount val="69"/>
                <c:pt idx="0">
                  <c:v>30.22</c:v>
                </c:pt>
                <c:pt idx="1">
                  <c:v>30.42</c:v>
                </c:pt>
                <c:pt idx="2">
                  <c:v>31.03</c:v>
                </c:pt>
                <c:pt idx="3">
                  <c:v>31.19</c:v>
                </c:pt>
                <c:pt idx="5">
                  <c:v>31.54</c:v>
                </c:pt>
                <c:pt idx="6">
                  <c:v>31.42</c:v>
                </c:pt>
                <c:pt idx="7">
                  <c:v>31.83</c:v>
                </c:pt>
                <c:pt idx="8">
                  <c:v>33.130000000000003</c:v>
                </c:pt>
                <c:pt idx="9">
                  <c:v>33.64</c:v>
                </c:pt>
                <c:pt idx="10">
                  <c:v>33.590000000000003</c:v>
                </c:pt>
                <c:pt idx="11">
                  <c:v>33.15</c:v>
                </c:pt>
                <c:pt idx="12">
                  <c:v>33.78</c:v>
                </c:pt>
                <c:pt idx="13">
                  <c:v>34.020000000000003</c:v>
                </c:pt>
                <c:pt idx="14">
                  <c:v>33.75</c:v>
                </c:pt>
                <c:pt idx="15">
                  <c:v>32.86</c:v>
                </c:pt>
                <c:pt idx="16">
                  <c:v>31.83</c:v>
                </c:pt>
                <c:pt idx="17">
                  <c:v>32.21</c:v>
                </c:pt>
                <c:pt idx="18">
                  <c:v>32.229999999999997</c:v>
                </c:pt>
                <c:pt idx="19">
                  <c:v>32.03</c:v>
                </c:pt>
                <c:pt idx="20">
                  <c:v>31.85</c:v>
                </c:pt>
                <c:pt idx="21">
                  <c:v>31.45</c:v>
                </c:pt>
                <c:pt idx="22">
                  <c:v>31.68</c:v>
                </c:pt>
                <c:pt idx="23">
                  <c:v>31.37</c:v>
                </c:pt>
                <c:pt idx="24">
                  <c:v>30.97</c:v>
                </c:pt>
                <c:pt idx="25">
                  <c:v>31.42</c:v>
                </c:pt>
                <c:pt idx="26">
                  <c:v>31.84</c:v>
                </c:pt>
                <c:pt idx="27">
                  <c:v>33.26</c:v>
                </c:pt>
                <c:pt idx="28">
                  <c:v>33.450000000000003</c:v>
                </c:pt>
                <c:pt idx="29">
                  <c:v>31.55</c:v>
                </c:pt>
                <c:pt idx="30">
                  <c:v>31.28</c:v>
                </c:pt>
                <c:pt idx="31">
                  <c:v>30.25</c:v>
                </c:pt>
                <c:pt idx="32">
                  <c:v>30.6</c:v>
                </c:pt>
                <c:pt idx="33">
                  <c:v>30.77</c:v>
                </c:pt>
                <c:pt idx="34">
                  <c:v>31.25</c:v>
                </c:pt>
                <c:pt idx="35">
                  <c:v>31.41</c:v>
                </c:pt>
                <c:pt idx="36">
                  <c:v>31.43</c:v>
                </c:pt>
                <c:pt idx="37">
                  <c:v>30.72</c:v>
                </c:pt>
                <c:pt idx="38">
                  <c:v>30.71</c:v>
                </c:pt>
                <c:pt idx="39">
                  <c:v>30.8</c:v>
                </c:pt>
                <c:pt idx="40">
                  <c:v>30.87</c:v>
                </c:pt>
                <c:pt idx="41">
                  <c:v>30.81</c:v>
                </c:pt>
                <c:pt idx="42">
                  <c:v>29.53</c:v>
                </c:pt>
                <c:pt idx="43">
                  <c:v>29.33</c:v>
                </c:pt>
                <c:pt idx="44">
                  <c:v>29.33</c:v>
                </c:pt>
                <c:pt idx="45">
                  <c:v>29.06</c:v>
                </c:pt>
                <c:pt idx="46">
                  <c:v>30.04</c:v>
                </c:pt>
                <c:pt idx="47">
                  <c:v>29.18</c:v>
                </c:pt>
                <c:pt idx="48">
                  <c:v>29.35</c:v>
                </c:pt>
                <c:pt idx="49">
                  <c:v>28.78</c:v>
                </c:pt>
                <c:pt idx="50">
                  <c:v>28.16</c:v>
                </c:pt>
                <c:pt idx="51">
                  <c:v>27.77</c:v>
                </c:pt>
                <c:pt idx="52">
                  <c:v>29.56</c:v>
                </c:pt>
                <c:pt idx="53">
                  <c:v>29.74</c:v>
                </c:pt>
                <c:pt idx="54">
                  <c:v>29.38</c:v>
                </c:pt>
                <c:pt idx="55">
                  <c:v>29.52</c:v>
                </c:pt>
                <c:pt idx="56">
                  <c:v>30.24</c:v>
                </c:pt>
                <c:pt idx="57">
                  <c:v>31.42</c:v>
                </c:pt>
                <c:pt idx="58">
                  <c:v>30.18</c:v>
                </c:pt>
                <c:pt idx="59">
                  <c:v>30.23</c:v>
                </c:pt>
                <c:pt idx="60">
                  <c:v>29.38</c:v>
                </c:pt>
                <c:pt idx="61">
                  <c:v>29.17</c:v>
                </c:pt>
                <c:pt idx="62">
                  <c:v>28.82</c:v>
                </c:pt>
                <c:pt idx="63">
                  <c:v>29.09</c:v>
                </c:pt>
                <c:pt idx="64">
                  <c:v>28.4</c:v>
                </c:pt>
                <c:pt idx="65">
                  <c:v>27.06</c:v>
                </c:pt>
                <c:pt idx="67">
                  <c:v>27.35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228880"/>
        <c:axId val="648229272"/>
      </c:lineChart>
      <c:dateAx>
        <c:axId val="648228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29272"/>
        <c:crosses val="autoZero"/>
        <c:auto val="1"/>
        <c:lblOffset val="100"/>
        <c:baseTimeUnit val="days"/>
      </c:dateAx>
      <c:valAx>
        <c:axId val="6482292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28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MJN!$AA$1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MJN!$W$2:$W$69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20-Dec-16</c:v>
                </c:pt>
                <c:pt idx="51">
                  <c:v>19-Dec-16</c:v>
                </c:pt>
                <c:pt idx="52">
                  <c:v>16-Dec-16</c:v>
                </c:pt>
                <c:pt idx="53">
                  <c:v>15-Dec-16</c:v>
                </c:pt>
                <c:pt idx="54">
                  <c:v>14-Dec-16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MJN!$AA$2:$AA$69</c:f>
              <c:numCache>
                <c:formatCode>General</c:formatCode>
                <c:ptCount val="68"/>
                <c:pt idx="0">
                  <c:v>50.38</c:v>
                </c:pt>
                <c:pt idx="1">
                  <c:v>49.98</c:v>
                </c:pt>
                <c:pt idx="2">
                  <c:v>50.17</c:v>
                </c:pt>
                <c:pt idx="3">
                  <c:v>49.65</c:v>
                </c:pt>
                <c:pt idx="4">
                  <c:v>49.7</c:v>
                </c:pt>
                <c:pt idx="5">
                  <c:v>49.58</c:v>
                </c:pt>
                <c:pt idx="6">
                  <c:v>50.03</c:v>
                </c:pt>
                <c:pt idx="7">
                  <c:v>49.91</c:v>
                </c:pt>
                <c:pt idx="8">
                  <c:v>49.92</c:v>
                </c:pt>
                <c:pt idx="9">
                  <c:v>49.91</c:v>
                </c:pt>
                <c:pt idx="10">
                  <c:v>50.09</c:v>
                </c:pt>
                <c:pt idx="11">
                  <c:v>49.89</c:v>
                </c:pt>
                <c:pt idx="12">
                  <c:v>49.66</c:v>
                </c:pt>
                <c:pt idx="13">
                  <c:v>49.65</c:v>
                </c:pt>
                <c:pt idx="14">
                  <c:v>49.47</c:v>
                </c:pt>
                <c:pt idx="15">
                  <c:v>49.46</c:v>
                </c:pt>
                <c:pt idx="16">
                  <c:v>49.29</c:v>
                </c:pt>
                <c:pt idx="17">
                  <c:v>49.2</c:v>
                </c:pt>
                <c:pt idx="18">
                  <c:v>49.18</c:v>
                </c:pt>
                <c:pt idx="19">
                  <c:v>49.65</c:v>
                </c:pt>
                <c:pt idx="20">
                  <c:v>49.47</c:v>
                </c:pt>
                <c:pt idx="21">
                  <c:v>49.51</c:v>
                </c:pt>
                <c:pt idx="22">
                  <c:v>49.36</c:v>
                </c:pt>
                <c:pt idx="23">
                  <c:v>49.12</c:v>
                </c:pt>
                <c:pt idx="24">
                  <c:v>49.53</c:v>
                </c:pt>
                <c:pt idx="25">
                  <c:v>49.54</c:v>
                </c:pt>
                <c:pt idx="26">
                  <c:v>49.86</c:v>
                </c:pt>
                <c:pt idx="27">
                  <c:v>49.27</c:v>
                </c:pt>
                <c:pt idx="28">
                  <c:v>49.16</c:v>
                </c:pt>
                <c:pt idx="29">
                  <c:v>49</c:v>
                </c:pt>
                <c:pt idx="30">
                  <c:v>48.73</c:v>
                </c:pt>
                <c:pt idx="31">
                  <c:v>48.83</c:v>
                </c:pt>
                <c:pt idx="32">
                  <c:v>49.03</c:v>
                </c:pt>
                <c:pt idx="33">
                  <c:v>49.03</c:v>
                </c:pt>
                <c:pt idx="34">
                  <c:v>48.82</c:v>
                </c:pt>
                <c:pt idx="35">
                  <c:v>48.77</c:v>
                </c:pt>
                <c:pt idx="36">
                  <c:v>48.52</c:v>
                </c:pt>
                <c:pt idx="37">
                  <c:v>48.53</c:v>
                </c:pt>
                <c:pt idx="38">
                  <c:v>48.7</c:v>
                </c:pt>
                <c:pt idx="39">
                  <c:v>48.94</c:v>
                </c:pt>
                <c:pt idx="40">
                  <c:v>48.5</c:v>
                </c:pt>
                <c:pt idx="41">
                  <c:v>48.1</c:v>
                </c:pt>
                <c:pt idx="42">
                  <c:v>47.94</c:v>
                </c:pt>
                <c:pt idx="43">
                  <c:v>47.68</c:v>
                </c:pt>
                <c:pt idx="44">
                  <c:v>47.35</c:v>
                </c:pt>
                <c:pt idx="45">
                  <c:v>47.65</c:v>
                </c:pt>
                <c:pt idx="46">
                  <c:v>47.58</c:v>
                </c:pt>
                <c:pt idx="47">
                  <c:v>47.39</c:v>
                </c:pt>
                <c:pt idx="48">
                  <c:v>47.48</c:v>
                </c:pt>
                <c:pt idx="49">
                  <c:v>47.36</c:v>
                </c:pt>
                <c:pt idx="51">
                  <c:v>47.46</c:v>
                </c:pt>
                <c:pt idx="52">
                  <c:v>47.63</c:v>
                </c:pt>
                <c:pt idx="53">
                  <c:v>47.39</c:v>
                </c:pt>
                <c:pt idx="54">
                  <c:v>47.42</c:v>
                </c:pt>
                <c:pt idx="55">
                  <c:v>48.17</c:v>
                </c:pt>
                <c:pt idx="56">
                  <c:v>47.66</c:v>
                </c:pt>
                <c:pt idx="57">
                  <c:v>47.73</c:v>
                </c:pt>
                <c:pt idx="58">
                  <c:v>47.47</c:v>
                </c:pt>
                <c:pt idx="59">
                  <c:v>47.75</c:v>
                </c:pt>
                <c:pt idx="60">
                  <c:v>47.11</c:v>
                </c:pt>
                <c:pt idx="61">
                  <c:v>46.68</c:v>
                </c:pt>
                <c:pt idx="62">
                  <c:v>45.99</c:v>
                </c:pt>
                <c:pt idx="63">
                  <c:v>45.84</c:v>
                </c:pt>
                <c:pt idx="64">
                  <c:v>45.91</c:v>
                </c:pt>
                <c:pt idx="65">
                  <c:v>45.94</c:v>
                </c:pt>
                <c:pt idx="66">
                  <c:v>45.54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511240"/>
        <c:axId val="661511632"/>
      </c:lineChart>
      <c:catAx>
        <c:axId val="661511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511632"/>
        <c:crosses val="autoZero"/>
        <c:auto val="1"/>
        <c:lblAlgn val="ctr"/>
        <c:lblOffset val="100"/>
        <c:noMultiLvlLbl val="0"/>
      </c:catAx>
      <c:valAx>
        <c:axId val="6615116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511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20-Dec-16</c:v>
                </c:pt>
                <c:pt idx="51">
                  <c:v>19-Dec-16</c:v>
                </c:pt>
                <c:pt idx="52">
                  <c:v>16-Dec-16</c:v>
                </c:pt>
                <c:pt idx="53">
                  <c:v>15-Dec-16</c:v>
                </c:pt>
                <c:pt idx="54">
                  <c:v>14-Dec-16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50.38</c:v>
                </c:pt>
                <c:pt idx="1">
                  <c:v>49.98</c:v>
                </c:pt>
                <c:pt idx="2">
                  <c:v>50.17</c:v>
                </c:pt>
                <c:pt idx="3">
                  <c:v>49.65</c:v>
                </c:pt>
                <c:pt idx="4">
                  <c:v>49.7</c:v>
                </c:pt>
                <c:pt idx="5">
                  <c:v>49.58</c:v>
                </c:pt>
                <c:pt idx="6">
                  <c:v>50.03</c:v>
                </c:pt>
                <c:pt idx="7">
                  <c:v>49.91</c:v>
                </c:pt>
                <c:pt idx="8">
                  <c:v>49.92</c:v>
                </c:pt>
                <c:pt idx="9">
                  <c:v>49.91</c:v>
                </c:pt>
                <c:pt idx="10">
                  <c:v>50.09</c:v>
                </c:pt>
                <c:pt idx="11">
                  <c:v>49.89</c:v>
                </c:pt>
                <c:pt idx="12">
                  <c:v>49.66</c:v>
                </c:pt>
                <c:pt idx="13">
                  <c:v>49.65</c:v>
                </c:pt>
                <c:pt idx="14">
                  <c:v>49.47</c:v>
                </c:pt>
                <c:pt idx="15">
                  <c:v>49.46</c:v>
                </c:pt>
                <c:pt idx="16">
                  <c:v>49.29</c:v>
                </c:pt>
                <c:pt idx="17">
                  <c:v>49.2</c:v>
                </c:pt>
                <c:pt idx="18">
                  <c:v>49.18</c:v>
                </c:pt>
                <c:pt idx="19">
                  <c:v>49.65</c:v>
                </c:pt>
                <c:pt idx="20">
                  <c:v>49.47</c:v>
                </c:pt>
                <c:pt idx="21">
                  <c:v>49.51</c:v>
                </c:pt>
                <c:pt idx="22">
                  <c:v>49.36</c:v>
                </c:pt>
                <c:pt idx="23">
                  <c:v>49.12</c:v>
                </c:pt>
                <c:pt idx="24">
                  <c:v>49.53</c:v>
                </c:pt>
                <c:pt idx="25">
                  <c:v>49.54</c:v>
                </c:pt>
                <c:pt idx="26">
                  <c:v>49.86</c:v>
                </c:pt>
                <c:pt idx="27">
                  <c:v>49.27</c:v>
                </c:pt>
                <c:pt idx="28">
                  <c:v>49.16</c:v>
                </c:pt>
                <c:pt idx="29">
                  <c:v>49</c:v>
                </c:pt>
                <c:pt idx="30">
                  <c:v>48.73</c:v>
                </c:pt>
                <c:pt idx="31">
                  <c:v>48.83</c:v>
                </c:pt>
                <c:pt idx="32">
                  <c:v>49.03</c:v>
                </c:pt>
                <c:pt idx="33">
                  <c:v>49.03</c:v>
                </c:pt>
                <c:pt idx="34">
                  <c:v>48.82</c:v>
                </c:pt>
                <c:pt idx="35">
                  <c:v>48.77</c:v>
                </c:pt>
                <c:pt idx="36">
                  <c:v>48.52</c:v>
                </c:pt>
                <c:pt idx="37">
                  <c:v>48.53</c:v>
                </c:pt>
                <c:pt idx="38">
                  <c:v>48.7</c:v>
                </c:pt>
                <c:pt idx="39">
                  <c:v>48.94</c:v>
                </c:pt>
                <c:pt idx="40">
                  <c:v>48.5</c:v>
                </c:pt>
                <c:pt idx="41">
                  <c:v>48.1</c:v>
                </c:pt>
                <c:pt idx="42">
                  <c:v>47.94</c:v>
                </c:pt>
                <c:pt idx="43">
                  <c:v>47.68</c:v>
                </c:pt>
                <c:pt idx="44">
                  <c:v>47.35</c:v>
                </c:pt>
                <c:pt idx="45">
                  <c:v>47.65</c:v>
                </c:pt>
                <c:pt idx="46">
                  <c:v>47.58</c:v>
                </c:pt>
                <c:pt idx="47">
                  <c:v>47.39</c:v>
                </c:pt>
                <c:pt idx="48">
                  <c:v>47.48</c:v>
                </c:pt>
                <c:pt idx="49">
                  <c:v>47.36</c:v>
                </c:pt>
                <c:pt idx="51">
                  <c:v>47.46</c:v>
                </c:pt>
                <c:pt idx="52">
                  <c:v>47.63</c:v>
                </c:pt>
                <c:pt idx="53">
                  <c:v>47.39</c:v>
                </c:pt>
                <c:pt idx="54">
                  <c:v>47.42</c:v>
                </c:pt>
                <c:pt idx="55">
                  <c:v>48.17</c:v>
                </c:pt>
                <c:pt idx="56">
                  <c:v>47.66</c:v>
                </c:pt>
                <c:pt idx="57">
                  <c:v>47.73</c:v>
                </c:pt>
                <c:pt idx="58">
                  <c:v>47.47</c:v>
                </c:pt>
                <c:pt idx="59">
                  <c:v>47.75</c:v>
                </c:pt>
                <c:pt idx="60">
                  <c:v>47.11</c:v>
                </c:pt>
                <c:pt idx="61">
                  <c:v>46.68</c:v>
                </c:pt>
                <c:pt idx="62">
                  <c:v>45.99</c:v>
                </c:pt>
                <c:pt idx="63">
                  <c:v>45.84</c:v>
                </c:pt>
                <c:pt idx="64">
                  <c:v>45.91</c:v>
                </c:pt>
                <c:pt idx="65">
                  <c:v>45.94</c:v>
                </c:pt>
                <c:pt idx="66">
                  <c:v>45.54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513592"/>
        <c:axId val="661513984"/>
      </c:lineChart>
      <c:catAx>
        <c:axId val="661513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513984"/>
        <c:crosses val="autoZero"/>
        <c:auto val="1"/>
        <c:lblAlgn val="ctr"/>
        <c:lblOffset val="100"/>
        <c:noMultiLvlLbl val="0"/>
      </c:catAx>
      <c:valAx>
        <c:axId val="6615139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51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25.57</c:v>
                </c:pt>
                <c:pt idx="1">
                  <c:v>24.7</c:v>
                </c:pt>
                <c:pt idx="2">
                  <c:v>24.55</c:v>
                </c:pt>
                <c:pt idx="3">
                  <c:v>23.44</c:v>
                </c:pt>
                <c:pt idx="4">
                  <c:v>23.76</c:v>
                </c:pt>
                <c:pt idx="5">
                  <c:v>23.24</c:v>
                </c:pt>
                <c:pt idx="6">
                  <c:v>23.48</c:v>
                </c:pt>
                <c:pt idx="7">
                  <c:v>23.75</c:v>
                </c:pt>
                <c:pt idx="8">
                  <c:v>23.77</c:v>
                </c:pt>
                <c:pt idx="9">
                  <c:v>23.35</c:v>
                </c:pt>
                <c:pt idx="10">
                  <c:v>22.98</c:v>
                </c:pt>
                <c:pt idx="11">
                  <c:v>23.02</c:v>
                </c:pt>
                <c:pt idx="12">
                  <c:v>23.12</c:v>
                </c:pt>
                <c:pt idx="13">
                  <c:v>23.9</c:v>
                </c:pt>
                <c:pt idx="14">
                  <c:v>24.05</c:v>
                </c:pt>
                <c:pt idx="15">
                  <c:v>24.45</c:v>
                </c:pt>
                <c:pt idx="16">
                  <c:v>24.21</c:v>
                </c:pt>
                <c:pt idx="17">
                  <c:v>24.6</c:v>
                </c:pt>
                <c:pt idx="18">
                  <c:v>24.34</c:v>
                </c:pt>
                <c:pt idx="19">
                  <c:v>24.6</c:v>
                </c:pt>
                <c:pt idx="20">
                  <c:v>24.79</c:v>
                </c:pt>
                <c:pt idx="21">
                  <c:v>24.75</c:v>
                </c:pt>
                <c:pt idx="22">
                  <c:v>24.11</c:v>
                </c:pt>
                <c:pt idx="23">
                  <c:v>24.18</c:v>
                </c:pt>
                <c:pt idx="24">
                  <c:v>23.97</c:v>
                </c:pt>
                <c:pt idx="25">
                  <c:v>23.52</c:v>
                </c:pt>
                <c:pt idx="26">
                  <c:v>23.56</c:v>
                </c:pt>
                <c:pt idx="27">
                  <c:v>22.85</c:v>
                </c:pt>
                <c:pt idx="28">
                  <c:v>21.89</c:v>
                </c:pt>
                <c:pt idx="29">
                  <c:v>21.96</c:v>
                </c:pt>
                <c:pt idx="30">
                  <c:v>21.71</c:v>
                </c:pt>
                <c:pt idx="31">
                  <c:v>22.32</c:v>
                </c:pt>
                <c:pt idx="32">
                  <c:v>21.74</c:v>
                </c:pt>
                <c:pt idx="33">
                  <c:v>22.18</c:v>
                </c:pt>
                <c:pt idx="34">
                  <c:v>22.31</c:v>
                </c:pt>
                <c:pt idx="35">
                  <c:v>22.79</c:v>
                </c:pt>
                <c:pt idx="36">
                  <c:v>22.48</c:v>
                </c:pt>
                <c:pt idx="37">
                  <c:v>22.34</c:v>
                </c:pt>
                <c:pt idx="38">
                  <c:v>22.04</c:v>
                </c:pt>
                <c:pt idx="39">
                  <c:v>22.11</c:v>
                </c:pt>
                <c:pt idx="40">
                  <c:v>22.36</c:v>
                </c:pt>
                <c:pt idx="41">
                  <c:v>22.55</c:v>
                </c:pt>
                <c:pt idx="42">
                  <c:v>21.92</c:v>
                </c:pt>
                <c:pt idx="43">
                  <c:v>22.27</c:v>
                </c:pt>
                <c:pt idx="44">
                  <c:v>22.78</c:v>
                </c:pt>
                <c:pt idx="45">
                  <c:v>23.3</c:v>
                </c:pt>
                <c:pt idx="46">
                  <c:v>23.26</c:v>
                </c:pt>
                <c:pt idx="47">
                  <c:v>23.19</c:v>
                </c:pt>
                <c:pt idx="48">
                  <c:v>20.58</c:v>
                </c:pt>
                <c:pt idx="49">
                  <c:v>20.65</c:v>
                </c:pt>
                <c:pt idx="50">
                  <c:v>20.350000000000001</c:v>
                </c:pt>
                <c:pt idx="51">
                  <c:v>20.27</c:v>
                </c:pt>
                <c:pt idx="52">
                  <c:v>20.29</c:v>
                </c:pt>
                <c:pt idx="53">
                  <c:v>20.02</c:v>
                </c:pt>
                <c:pt idx="54">
                  <c:v>20.13</c:v>
                </c:pt>
                <c:pt idx="55">
                  <c:v>20.02</c:v>
                </c:pt>
                <c:pt idx="56">
                  <c:v>20.5</c:v>
                </c:pt>
                <c:pt idx="57">
                  <c:v>20.66</c:v>
                </c:pt>
                <c:pt idx="58">
                  <c:v>20.440000000000001</c:v>
                </c:pt>
                <c:pt idx="59">
                  <c:v>19.059999999999999</c:v>
                </c:pt>
                <c:pt idx="60">
                  <c:v>18.61</c:v>
                </c:pt>
                <c:pt idx="61">
                  <c:v>18.79</c:v>
                </c:pt>
                <c:pt idx="62">
                  <c:v>18.48</c:v>
                </c:pt>
                <c:pt idx="63">
                  <c:v>19.53</c:v>
                </c:pt>
                <c:pt idx="64">
                  <c:v>19.420000000000002</c:v>
                </c:pt>
                <c:pt idx="65">
                  <c:v>19.989999999999998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515944"/>
        <c:axId val="661516336"/>
      </c:lineChart>
      <c:dateAx>
        <c:axId val="661515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516336"/>
        <c:crosses val="autoZero"/>
        <c:auto val="1"/>
        <c:lblOffset val="100"/>
        <c:baseTimeUnit val="days"/>
      </c:dateAx>
      <c:valAx>
        <c:axId val="66151633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515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54</c:v>
                </c:pt>
                <c:pt idx="1">
                  <c:v>53.72</c:v>
                </c:pt>
                <c:pt idx="2">
                  <c:v>53.67</c:v>
                </c:pt>
                <c:pt idx="3">
                  <c:v>52.7</c:v>
                </c:pt>
                <c:pt idx="4">
                  <c:v>52.89</c:v>
                </c:pt>
                <c:pt idx="5">
                  <c:v>52.62</c:v>
                </c:pt>
                <c:pt idx="6">
                  <c:v>52.22</c:v>
                </c:pt>
                <c:pt idx="7">
                  <c:v>52.03</c:v>
                </c:pt>
                <c:pt idx="8">
                  <c:v>52.76</c:v>
                </c:pt>
                <c:pt idx="9">
                  <c:v>52.15</c:v>
                </c:pt>
                <c:pt idx="10">
                  <c:v>53.38</c:v>
                </c:pt>
                <c:pt idx="11">
                  <c:v>52.76</c:v>
                </c:pt>
                <c:pt idx="12">
                  <c:v>52.88</c:v>
                </c:pt>
                <c:pt idx="13">
                  <c:v>52.68</c:v>
                </c:pt>
                <c:pt idx="15">
                  <c:v>52.89</c:v>
                </c:pt>
                <c:pt idx="16">
                  <c:v>52.16</c:v>
                </c:pt>
                <c:pt idx="17">
                  <c:v>53.1</c:v>
                </c:pt>
                <c:pt idx="18">
                  <c:v>52.13</c:v>
                </c:pt>
                <c:pt idx="19">
                  <c:v>51.6</c:v>
                </c:pt>
                <c:pt idx="20">
                  <c:v>53.01</c:v>
                </c:pt>
                <c:pt idx="21">
                  <c:v>53.35</c:v>
                </c:pt>
                <c:pt idx="22">
                  <c:v>56.5</c:v>
                </c:pt>
                <c:pt idx="23">
                  <c:v>56.6</c:v>
                </c:pt>
                <c:pt idx="24">
                  <c:v>56.89</c:v>
                </c:pt>
                <c:pt idx="25">
                  <c:v>57.34</c:v>
                </c:pt>
                <c:pt idx="26">
                  <c:v>57.51</c:v>
                </c:pt>
                <c:pt idx="27">
                  <c:v>57.99</c:v>
                </c:pt>
                <c:pt idx="28">
                  <c:v>55.9</c:v>
                </c:pt>
                <c:pt idx="29">
                  <c:v>54.31</c:v>
                </c:pt>
                <c:pt idx="30">
                  <c:v>53.69</c:v>
                </c:pt>
                <c:pt idx="31">
                  <c:v>52.68</c:v>
                </c:pt>
                <c:pt idx="32">
                  <c:v>53.03</c:v>
                </c:pt>
                <c:pt idx="33">
                  <c:v>52.99</c:v>
                </c:pt>
                <c:pt idx="34">
                  <c:v>53.55</c:v>
                </c:pt>
                <c:pt idx="35">
                  <c:v>53.67</c:v>
                </c:pt>
                <c:pt idx="36">
                  <c:v>54.14</c:v>
                </c:pt>
                <c:pt idx="37">
                  <c:v>53.78</c:v>
                </c:pt>
                <c:pt idx="38">
                  <c:v>53.62</c:v>
                </c:pt>
                <c:pt idx="39">
                  <c:v>53.72</c:v>
                </c:pt>
                <c:pt idx="40">
                  <c:v>53.61</c:v>
                </c:pt>
                <c:pt idx="41">
                  <c:v>54.05</c:v>
                </c:pt>
                <c:pt idx="42">
                  <c:v>53.39</c:v>
                </c:pt>
                <c:pt idx="43">
                  <c:v>53.06</c:v>
                </c:pt>
                <c:pt idx="44">
                  <c:v>53.37</c:v>
                </c:pt>
                <c:pt idx="45">
                  <c:v>53.38</c:v>
                </c:pt>
                <c:pt idx="46">
                  <c:v>54.28</c:v>
                </c:pt>
                <c:pt idx="47">
                  <c:v>54.03</c:v>
                </c:pt>
                <c:pt idx="48">
                  <c:v>53.79</c:v>
                </c:pt>
                <c:pt idx="49">
                  <c:v>53.95</c:v>
                </c:pt>
                <c:pt idx="50">
                  <c:v>53.99</c:v>
                </c:pt>
                <c:pt idx="51">
                  <c:v>53.68</c:v>
                </c:pt>
                <c:pt idx="52">
                  <c:v>53.75</c:v>
                </c:pt>
                <c:pt idx="53">
                  <c:v>53.6</c:v>
                </c:pt>
                <c:pt idx="54">
                  <c:v>52.92</c:v>
                </c:pt>
                <c:pt idx="55">
                  <c:v>53.29</c:v>
                </c:pt>
                <c:pt idx="56">
                  <c:v>53.6</c:v>
                </c:pt>
                <c:pt idx="57">
                  <c:v>53.83</c:v>
                </c:pt>
                <c:pt idx="58">
                  <c:v>53.66</c:v>
                </c:pt>
                <c:pt idx="59">
                  <c:v>53.3</c:v>
                </c:pt>
                <c:pt idx="60">
                  <c:v>51.77</c:v>
                </c:pt>
                <c:pt idx="61">
                  <c:v>51.41</c:v>
                </c:pt>
                <c:pt idx="62">
                  <c:v>50.46</c:v>
                </c:pt>
                <c:pt idx="63">
                  <c:v>49.73</c:v>
                </c:pt>
                <c:pt idx="64">
                  <c:v>48.72</c:v>
                </c:pt>
                <c:pt idx="65">
                  <c:v>48.84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518296"/>
        <c:axId val="648880072"/>
      </c:lineChart>
      <c:dateAx>
        <c:axId val="661518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880072"/>
        <c:crosses val="autoZero"/>
        <c:auto val="1"/>
        <c:lblOffset val="100"/>
        <c:baseTimeUnit val="days"/>
      </c:dateAx>
      <c:valAx>
        <c:axId val="6488800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51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3-Feb-17</c:v>
                </c:pt>
                <c:pt idx="21">
                  <c:v>2-Feb-17</c:v>
                </c:pt>
                <c:pt idx="22">
                  <c:v>1-Feb-17</c:v>
                </c:pt>
                <c:pt idx="23">
                  <c:v>31-Jan-17</c:v>
                </c:pt>
                <c:pt idx="24">
                  <c:v>30-Jan-17</c:v>
                </c:pt>
                <c:pt idx="25">
                  <c:v>27-Jan-17</c:v>
                </c:pt>
                <c:pt idx="26">
                  <c:v>26-Jan-17</c:v>
                </c:pt>
                <c:pt idx="27">
                  <c:v>25-Jan-17</c:v>
                </c:pt>
                <c:pt idx="28">
                  <c:v>24-Jan-17</c:v>
                </c:pt>
                <c:pt idx="29">
                  <c:v>23-Jan-17</c:v>
                </c:pt>
                <c:pt idx="30">
                  <c:v>20-Jan-17</c:v>
                </c:pt>
                <c:pt idx="31">
                  <c:v>19-Jan-17</c:v>
                </c:pt>
                <c:pt idx="32">
                  <c:v>18-Jan-17</c:v>
                </c:pt>
                <c:pt idx="33">
                  <c:v>17-Jan-17</c:v>
                </c:pt>
                <c:pt idx="34">
                  <c:v>13-Jan-17</c:v>
                </c:pt>
                <c:pt idx="35">
                  <c:v>12-Jan-17</c:v>
                </c:pt>
                <c:pt idx="36">
                  <c:v>11-Jan-17</c:v>
                </c:pt>
                <c:pt idx="37">
                  <c:v>10-Jan-17</c:v>
                </c:pt>
                <c:pt idx="38">
                  <c:v>9-Jan-17</c:v>
                </c:pt>
                <c:pt idx="39">
                  <c:v>6-Jan-17</c:v>
                </c:pt>
                <c:pt idx="40">
                  <c:v>5-Jan-17</c:v>
                </c:pt>
                <c:pt idx="41">
                  <c:v>4-Jan-17</c:v>
                </c:pt>
                <c:pt idx="42">
                  <c:v>3-Jan-17</c:v>
                </c:pt>
                <c:pt idx="43">
                  <c:v>30-Dec-16</c:v>
                </c:pt>
                <c:pt idx="44">
                  <c:v>29-Dec-16</c:v>
                </c:pt>
                <c:pt idx="45">
                  <c:v>28-Dec-16</c:v>
                </c:pt>
                <c:pt idx="46">
                  <c:v>27-Dec-16</c:v>
                </c:pt>
                <c:pt idx="47">
                  <c:v>23-Dec-16</c:v>
                </c:pt>
                <c:pt idx="48">
                  <c:v>22-Dec-16</c:v>
                </c:pt>
                <c:pt idx="49">
                  <c:v>21-Dec-16</c:v>
                </c:pt>
                <c:pt idx="50">
                  <c:v>20-Dec-16</c:v>
                </c:pt>
                <c:pt idx="51">
                  <c:v>19-Dec-16</c:v>
                </c:pt>
                <c:pt idx="52">
                  <c:v>16-Dec-16</c:v>
                </c:pt>
                <c:pt idx="53">
                  <c:v>15-Dec-16</c:v>
                </c:pt>
                <c:pt idx="54">
                  <c:v>14-Dec-16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35.9</c:v>
                </c:pt>
                <c:pt idx="1">
                  <c:v>35.909999999999997</c:v>
                </c:pt>
                <c:pt idx="2">
                  <c:v>35.93</c:v>
                </c:pt>
                <c:pt idx="3">
                  <c:v>36.200000000000003</c:v>
                </c:pt>
                <c:pt idx="4">
                  <c:v>36.51</c:v>
                </c:pt>
                <c:pt idx="5">
                  <c:v>36.53</c:v>
                </c:pt>
                <c:pt idx="6">
                  <c:v>36.18</c:v>
                </c:pt>
                <c:pt idx="7">
                  <c:v>36.07</c:v>
                </c:pt>
                <c:pt idx="8">
                  <c:v>36.520000000000003</c:v>
                </c:pt>
                <c:pt idx="9">
                  <c:v>36.479999999999997</c:v>
                </c:pt>
                <c:pt idx="10">
                  <c:v>36.409999999999997</c:v>
                </c:pt>
                <c:pt idx="11">
                  <c:v>36.049999999999997</c:v>
                </c:pt>
                <c:pt idx="12">
                  <c:v>35.93</c:v>
                </c:pt>
                <c:pt idx="13">
                  <c:v>35.799999999999997</c:v>
                </c:pt>
                <c:pt idx="14">
                  <c:v>35.340000000000003</c:v>
                </c:pt>
                <c:pt idx="15">
                  <c:v>35.46</c:v>
                </c:pt>
                <c:pt idx="16">
                  <c:v>36.380000000000003</c:v>
                </c:pt>
                <c:pt idx="17">
                  <c:v>36.35</c:v>
                </c:pt>
                <c:pt idx="18">
                  <c:v>36.270000000000003</c:v>
                </c:pt>
                <c:pt idx="19">
                  <c:v>36.520000000000003</c:v>
                </c:pt>
                <c:pt idx="21">
                  <c:v>36.68</c:v>
                </c:pt>
                <c:pt idx="22">
                  <c:v>36.520000000000003</c:v>
                </c:pt>
                <c:pt idx="23">
                  <c:v>36.82</c:v>
                </c:pt>
                <c:pt idx="24">
                  <c:v>37.42</c:v>
                </c:pt>
                <c:pt idx="25">
                  <c:v>37.979999999999997</c:v>
                </c:pt>
                <c:pt idx="26">
                  <c:v>37.56</c:v>
                </c:pt>
                <c:pt idx="27">
                  <c:v>37.799999999999997</c:v>
                </c:pt>
                <c:pt idx="28">
                  <c:v>37.619999999999997</c:v>
                </c:pt>
                <c:pt idx="29">
                  <c:v>36.770000000000003</c:v>
                </c:pt>
                <c:pt idx="30">
                  <c:v>36.94</c:v>
                </c:pt>
                <c:pt idx="31">
                  <c:v>36.57</c:v>
                </c:pt>
                <c:pt idx="32">
                  <c:v>36.76</c:v>
                </c:pt>
                <c:pt idx="33">
                  <c:v>36.799999999999997</c:v>
                </c:pt>
                <c:pt idx="34">
                  <c:v>36.79</c:v>
                </c:pt>
                <c:pt idx="35">
                  <c:v>36.71</c:v>
                </c:pt>
                <c:pt idx="36">
                  <c:v>36.950000000000003</c:v>
                </c:pt>
                <c:pt idx="37">
                  <c:v>36.54</c:v>
                </c:pt>
                <c:pt idx="38">
                  <c:v>36.61</c:v>
                </c:pt>
                <c:pt idx="39">
                  <c:v>36.479999999999997</c:v>
                </c:pt>
                <c:pt idx="40">
                  <c:v>36.35</c:v>
                </c:pt>
                <c:pt idx="41">
                  <c:v>36.409999999999997</c:v>
                </c:pt>
                <c:pt idx="42">
                  <c:v>36.6</c:v>
                </c:pt>
                <c:pt idx="43">
                  <c:v>36.270000000000003</c:v>
                </c:pt>
                <c:pt idx="44">
                  <c:v>36.659999999999997</c:v>
                </c:pt>
                <c:pt idx="45">
                  <c:v>36.630000000000003</c:v>
                </c:pt>
                <c:pt idx="46">
                  <c:v>37.07</c:v>
                </c:pt>
                <c:pt idx="47">
                  <c:v>36.97</c:v>
                </c:pt>
                <c:pt idx="48">
                  <c:v>36.93</c:v>
                </c:pt>
                <c:pt idx="49">
                  <c:v>36.979999999999997</c:v>
                </c:pt>
                <c:pt idx="50">
                  <c:v>37.21</c:v>
                </c:pt>
                <c:pt idx="51">
                  <c:v>36.89</c:v>
                </c:pt>
                <c:pt idx="52">
                  <c:v>36.31</c:v>
                </c:pt>
                <c:pt idx="53">
                  <c:v>36.79</c:v>
                </c:pt>
                <c:pt idx="54">
                  <c:v>36.549999999999997</c:v>
                </c:pt>
                <c:pt idx="55">
                  <c:v>36.799999999999997</c:v>
                </c:pt>
                <c:pt idx="56">
                  <c:v>35.97</c:v>
                </c:pt>
                <c:pt idx="57">
                  <c:v>35.76</c:v>
                </c:pt>
                <c:pt idx="58">
                  <c:v>35.700000000000003</c:v>
                </c:pt>
                <c:pt idx="59">
                  <c:v>35.5</c:v>
                </c:pt>
                <c:pt idx="60">
                  <c:v>34.72</c:v>
                </c:pt>
                <c:pt idx="61">
                  <c:v>34.39</c:v>
                </c:pt>
                <c:pt idx="62">
                  <c:v>34.159999999999997</c:v>
                </c:pt>
                <c:pt idx="63">
                  <c:v>33.76</c:v>
                </c:pt>
                <c:pt idx="64">
                  <c:v>34.700000000000003</c:v>
                </c:pt>
                <c:pt idx="65">
                  <c:v>35.31</c:v>
                </c:pt>
                <c:pt idx="66">
                  <c:v>35.51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882032"/>
        <c:axId val="648882424"/>
      </c:lineChart>
      <c:catAx>
        <c:axId val="648882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882424"/>
        <c:crosses val="autoZero"/>
        <c:auto val="1"/>
        <c:lblAlgn val="ctr"/>
        <c:lblOffset val="100"/>
        <c:noMultiLvlLbl val="0"/>
      </c:catAx>
      <c:valAx>
        <c:axId val="6488824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882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51.03</c:v>
                </c:pt>
                <c:pt idx="1">
                  <c:v>51.76</c:v>
                </c:pt>
                <c:pt idx="2">
                  <c:v>51.66</c:v>
                </c:pt>
                <c:pt idx="3">
                  <c:v>51.44</c:v>
                </c:pt>
                <c:pt idx="4">
                  <c:v>52.69</c:v>
                </c:pt>
                <c:pt idx="5">
                  <c:v>52.49</c:v>
                </c:pt>
                <c:pt idx="6">
                  <c:v>52.52</c:v>
                </c:pt>
                <c:pt idx="7">
                  <c:v>51.56</c:v>
                </c:pt>
                <c:pt idx="8">
                  <c:v>52.82</c:v>
                </c:pt>
                <c:pt idx="9">
                  <c:v>51.75</c:v>
                </c:pt>
                <c:pt idx="10">
                  <c:v>51.3</c:v>
                </c:pt>
                <c:pt idx="11">
                  <c:v>51.05</c:v>
                </c:pt>
                <c:pt idx="12">
                  <c:v>52</c:v>
                </c:pt>
                <c:pt idx="13">
                  <c:v>51.88</c:v>
                </c:pt>
                <c:pt idx="14">
                  <c:v>52.51</c:v>
                </c:pt>
                <c:pt idx="15">
                  <c:v>52.32</c:v>
                </c:pt>
                <c:pt idx="16">
                  <c:v>51.54</c:v>
                </c:pt>
                <c:pt idx="17">
                  <c:v>51.51</c:v>
                </c:pt>
                <c:pt idx="18">
                  <c:v>53.16</c:v>
                </c:pt>
                <c:pt idx="19">
                  <c:v>54.31</c:v>
                </c:pt>
                <c:pt idx="20">
                  <c:v>53.96</c:v>
                </c:pt>
                <c:pt idx="21">
                  <c:v>53.51</c:v>
                </c:pt>
                <c:pt idx="22">
                  <c:v>54.18</c:v>
                </c:pt>
                <c:pt idx="23">
                  <c:v>53.94</c:v>
                </c:pt>
                <c:pt idx="24">
                  <c:v>54.87</c:v>
                </c:pt>
                <c:pt idx="25">
                  <c:v>56.17</c:v>
                </c:pt>
                <c:pt idx="26">
                  <c:v>56.46</c:v>
                </c:pt>
                <c:pt idx="27">
                  <c:v>57.52</c:v>
                </c:pt>
                <c:pt idx="28">
                  <c:v>57.15</c:v>
                </c:pt>
                <c:pt idx="29">
                  <c:v>57.98</c:v>
                </c:pt>
                <c:pt idx="30">
                  <c:v>57.72</c:v>
                </c:pt>
                <c:pt idx="31">
                  <c:v>58.83</c:v>
                </c:pt>
                <c:pt idx="32">
                  <c:v>59.3</c:v>
                </c:pt>
                <c:pt idx="33">
                  <c:v>58.89</c:v>
                </c:pt>
                <c:pt idx="34">
                  <c:v>58.85</c:v>
                </c:pt>
                <c:pt idx="35">
                  <c:v>61.84</c:v>
                </c:pt>
                <c:pt idx="36">
                  <c:v>61.45</c:v>
                </c:pt>
                <c:pt idx="37">
                  <c:v>60.61</c:v>
                </c:pt>
                <c:pt idx="38">
                  <c:v>61.9</c:v>
                </c:pt>
                <c:pt idx="39">
                  <c:v>62.1</c:v>
                </c:pt>
                <c:pt idx="40">
                  <c:v>61.93</c:v>
                </c:pt>
                <c:pt idx="41">
                  <c:v>62.82</c:v>
                </c:pt>
                <c:pt idx="42">
                  <c:v>62.29</c:v>
                </c:pt>
                <c:pt idx="43">
                  <c:v>62.9</c:v>
                </c:pt>
                <c:pt idx="44">
                  <c:v>63.48</c:v>
                </c:pt>
                <c:pt idx="45">
                  <c:v>64.41</c:v>
                </c:pt>
                <c:pt idx="46">
                  <c:v>63.78</c:v>
                </c:pt>
                <c:pt idx="47">
                  <c:v>63.71</c:v>
                </c:pt>
                <c:pt idx="48">
                  <c:v>63.56</c:v>
                </c:pt>
                <c:pt idx="49">
                  <c:v>63.39</c:v>
                </c:pt>
                <c:pt idx="50">
                  <c:v>63.37</c:v>
                </c:pt>
                <c:pt idx="51">
                  <c:v>62.5</c:v>
                </c:pt>
                <c:pt idx="52">
                  <c:v>62.68</c:v>
                </c:pt>
                <c:pt idx="54">
                  <c:v>63.17</c:v>
                </c:pt>
                <c:pt idx="55">
                  <c:v>65.14</c:v>
                </c:pt>
                <c:pt idx="56">
                  <c:v>62.9</c:v>
                </c:pt>
                <c:pt idx="57">
                  <c:v>62.76</c:v>
                </c:pt>
                <c:pt idx="58">
                  <c:v>61.67</c:v>
                </c:pt>
                <c:pt idx="59">
                  <c:v>60.95</c:v>
                </c:pt>
                <c:pt idx="60">
                  <c:v>59.81</c:v>
                </c:pt>
                <c:pt idx="61">
                  <c:v>59</c:v>
                </c:pt>
                <c:pt idx="62">
                  <c:v>57.92</c:v>
                </c:pt>
                <c:pt idx="63">
                  <c:v>56.11</c:v>
                </c:pt>
                <c:pt idx="64">
                  <c:v>55.96</c:v>
                </c:pt>
                <c:pt idx="65">
                  <c:v>49.05</c:v>
                </c:pt>
                <c:pt idx="66">
                  <c:v>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884384"/>
        <c:axId val="648884776"/>
      </c:lineChart>
      <c:dateAx>
        <c:axId val="648884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884776"/>
        <c:crosses val="autoZero"/>
        <c:auto val="1"/>
        <c:lblOffset val="100"/>
        <c:baseTimeUnit val="days"/>
      </c:dateAx>
      <c:valAx>
        <c:axId val="6488847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884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UNP!$W$2:$W$70</c:f>
              <c:strCache>
                <c:ptCount val="69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24-Feb-17</c:v>
                </c:pt>
                <c:pt idx="7">
                  <c:v>23-Feb-17</c:v>
                </c:pt>
                <c:pt idx="8">
                  <c:v>22-Feb-17</c:v>
                </c:pt>
                <c:pt idx="9">
                  <c:v>21-Feb-17</c:v>
                </c:pt>
                <c:pt idx="10">
                  <c:v>17-Feb-17</c:v>
                </c:pt>
                <c:pt idx="11">
                  <c:v>16-Feb-17</c:v>
                </c:pt>
                <c:pt idx="12">
                  <c:v>15-Feb-17</c:v>
                </c:pt>
                <c:pt idx="13">
                  <c:v>14-Feb-17</c:v>
                </c:pt>
                <c:pt idx="14">
                  <c:v>13-Feb-17</c:v>
                </c:pt>
                <c:pt idx="15">
                  <c:v>10-Feb-17</c:v>
                </c:pt>
                <c:pt idx="16">
                  <c:v>9-Feb-17</c:v>
                </c:pt>
                <c:pt idx="17">
                  <c:v>8-Feb-17</c:v>
                </c:pt>
                <c:pt idx="18">
                  <c:v>7-Feb-17</c:v>
                </c:pt>
                <c:pt idx="19">
                  <c:v>42772.00</c:v>
                </c:pt>
                <c:pt idx="20">
                  <c:v>3-Feb-17</c:v>
                </c:pt>
                <c:pt idx="21">
                  <c:v>2-Feb-17</c:v>
                </c:pt>
                <c:pt idx="22">
                  <c:v>1-Feb-17</c:v>
                </c:pt>
                <c:pt idx="23">
                  <c:v>31-Jan-17</c:v>
                </c:pt>
                <c:pt idx="24">
                  <c:v>30-Jan-17</c:v>
                </c:pt>
                <c:pt idx="25">
                  <c:v>27-Jan-17</c:v>
                </c:pt>
                <c:pt idx="26">
                  <c:v>26-Jan-17</c:v>
                </c:pt>
                <c:pt idx="27">
                  <c:v>25-Jan-17</c:v>
                </c:pt>
                <c:pt idx="28">
                  <c:v>24-Jan-17</c:v>
                </c:pt>
                <c:pt idx="29">
                  <c:v>23-Jan-17</c:v>
                </c:pt>
                <c:pt idx="30">
                  <c:v>20-Jan-17</c:v>
                </c:pt>
                <c:pt idx="31">
                  <c:v>19-Jan-17</c:v>
                </c:pt>
                <c:pt idx="32">
                  <c:v>18-Jan-17</c:v>
                </c:pt>
                <c:pt idx="33">
                  <c:v>17-Jan-17</c:v>
                </c:pt>
                <c:pt idx="34">
                  <c:v>13-Jan-17</c:v>
                </c:pt>
                <c:pt idx="35">
                  <c:v>12-Jan-17</c:v>
                </c:pt>
                <c:pt idx="36">
                  <c:v>11-Jan-17</c:v>
                </c:pt>
                <c:pt idx="37">
                  <c:v>10-Jan-17</c:v>
                </c:pt>
                <c:pt idx="38">
                  <c:v>9-Jan-17</c:v>
                </c:pt>
                <c:pt idx="39">
                  <c:v>6-Jan-17</c:v>
                </c:pt>
                <c:pt idx="40">
                  <c:v>5-Jan-17</c:v>
                </c:pt>
                <c:pt idx="41">
                  <c:v>4-Jan-17</c:v>
                </c:pt>
                <c:pt idx="42">
                  <c:v>3-Jan-17</c:v>
                </c:pt>
                <c:pt idx="43">
                  <c:v>30-Dec-16</c:v>
                </c:pt>
                <c:pt idx="44">
                  <c:v>29-Dec-16</c:v>
                </c:pt>
                <c:pt idx="45">
                  <c:v>28-Dec-16</c:v>
                </c:pt>
                <c:pt idx="46">
                  <c:v>27-Dec-16</c:v>
                </c:pt>
                <c:pt idx="47">
                  <c:v>23-Dec-16</c:v>
                </c:pt>
                <c:pt idx="48">
                  <c:v>22-Dec-16</c:v>
                </c:pt>
                <c:pt idx="49">
                  <c:v>21-Dec-16</c:v>
                </c:pt>
                <c:pt idx="50">
                  <c:v>20-Dec-16</c:v>
                </c:pt>
                <c:pt idx="51">
                  <c:v>19-Dec-16</c:v>
                </c:pt>
                <c:pt idx="52">
                  <c:v>16-Dec-16</c:v>
                </c:pt>
                <c:pt idx="53">
                  <c:v>15-Dec-16</c:v>
                </c:pt>
                <c:pt idx="54">
                  <c:v>14-Dec-16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28-Nov-16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UNP!$AA$2:$AA$70</c:f>
              <c:numCache>
                <c:formatCode>General</c:formatCode>
                <c:ptCount val="69"/>
                <c:pt idx="0">
                  <c:v>109.02</c:v>
                </c:pt>
                <c:pt idx="1">
                  <c:v>109.05</c:v>
                </c:pt>
                <c:pt idx="2">
                  <c:v>110.11</c:v>
                </c:pt>
                <c:pt idx="3">
                  <c:v>107.94</c:v>
                </c:pt>
                <c:pt idx="4">
                  <c:v>107.5</c:v>
                </c:pt>
                <c:pt idx="5">
                  <c:v>107.74</c:v>
                </c:pt>
                <c:pt idx="7">
                  <c:v>106.7</c:v>
                </c:pt>
                <c:pt idx="8">
                  <c:v>108.87</c:v>
                </c:pt>
                <c:pt idx="9">
                  <c:v>109.67</c:v>
                </c:pt>
                <c:pt idx="10">
                  <c:v>109.82</c:v>
                </c:pt>
                <c:pt idx="11">
                  <c:v>109.39</c:v>
                </c:pt>
                <c:pt idx="12">
                  <c:v>109.78</c:v>
                </c:pt>
                <c:pt idx="13">
                  <c:v>109.16</c:v>
                </c:pt>
                <c:pt idx="14">
                  <c:v>108.32</c:v>
                </c:pt>
                <c:pt idx="15">
                  <c:v>107.87</c:v>
                </c:pt>
                <c:pt idx="16">
                  <c:v>107.42</c:v>
                </c:pt>
                <c:pt idx="17">
                  <c:v>107.34</c:v>
                </c:pt>
                <c:pt idx="18">
                  <c:v>107.65</c:v>
                </c:pt>
                <c:pt idx="19">
                  <c:v>107.69</c:v>
                </c:pt>
                <c:pt idx="20">
                  <c:v>108.51</c:v>
                </c:pt>
                <c:pt idx="21">
                  <c:v>107.3</c:v>
                </c:pt>
                <c:pt idx="22">
                  <c:v>107.7</c:v>
                </c:pt>
                <c:pt idx="23">
                  <c:v>106.58</c:v>
                </c:pt>
                <c:pt idx="24">
                  <c:v>108</c:v>
                </c:pt>
                <c:pt idx="25">
                  <c:v>109.2</c:v>
                </c:pt>
                <c:pt idx="26">
                  <c:v>110.15</c:v>
                </c:pt>
                <c:pt idx="27">
                  <c:v>110.42</c:v>
                </c:pt>
                <c:pt idx="28">
                  <c:v>108.72</c:v>
                </c:pt>
                <c:pt idx="29">
                  <c:v>107.99</c:v>
                </c:pt>
                <c:pt idx="30">
                  <c:v>108.6</c:v>
                </c:pt>
                <c:pt idx="31">
                  <c:v>106.24</c:v>
                </c:pt>
                <c:pt idx="32">
                  <c:v>103.77</c:v>
                </c:pt>
                <c:pt idx="33">
                  <c:v>103.37</c:v>
                </c:pt>
                <c:pt idx="34">
                  <c:v>105.25</c:v>
                </c:pt>
                <c:pt idx="35">
                  <c:v>104.7</c:v>
                </c:pt>
                <c:pt idx="36">
                  <c:v>104.27</c:v>
                </c:pt>
                <c:pt idx="37">
                  <c:v>103.42</c:v>
                </c:pt>
                <c:pt idx="38">
                  <c:v>102.42</c:v>
                </c:pt>
                <c:pt idx="39">
                  <c:v>103.19</c:v>
                </c:pt>
                <c:pt idx="40">
                  <c:v>102.13</c:v>
                </c:pt>
                <c:pt idx="41">
                  <c:v>103.14</c:v>
                </c:pt>
                <c:pt idx="42">
                  <c:v>102.52</c:v>
                </c:pt>
                <c:pt idx="43">
                  <c:v>103.68</c:v>
                </c:pt>
                <c:pt idx="44">
                  <c:v>104.42</c:v>
                </c:pt>
                <c:pt idx="45">
                  <c:v>104.76</c:v>
                </c:pt>
                <c:pt idx="46">
                  <c:v>105.71</c:v>
                </c:pt>
                <c:pt idx="47">
                  <c:v>105.18</c:v>
                </c:pt>
                <c:pt idx="48">
                  <c:v>105.19</c:v>
                </c:pt>
                <c:pt idx="49">
                  <c:v>104.65</c:v>
                </c:pt>
                <c:pt idx="50">
                  <c:v>104.65</c:v>
                </c:pt>
                <c:pt idx="51">
                  <c:v>103.4</c:v>
                </c:pt>
                <c:pt idx="52">
                  <c:v>103.31</c:v>
                </c:pt>
                <c:pt idx="53">
                  <c:v>104.68</c:v>
                </c:pt>
                <c:pt idx="54">
                  <c:v>102.82</c:v>
                </c:pt>
                <c:pt idx="55">
                  <c:v>104.04</c:v>
                </c:pt>
                <c:pt idx="56">
                  <c:v>104.32</c:v>
                </c:pt>
                <c:pt idx="57">
                  <c:v>104.99</c:v>
                </c:pt>
                <c:pt idx="58">
                  <c:v>105.37</c:v>
                </c:pt>
                <c:pt idx="59">
                  <c:v>106.33</c:v>
                </c:pt>
                <c:pt idx="60">
                  <c:v>103.15</c:v>
                </c:pt>
                <c:pt idx="61">
                  <c:v>102.84</c:v>
                </c:pt>
                <c:pt idx="62">
                  <c:v>102.65</c:v>
                </c:pt>
                <c:pt idx="63">
                  <c:v>103.39</c:v>
                </c:pt>
                <c:pt idx="64">
                  <c:v>101.33</c:v>
                </c:pt>
                <c:pt idx="65">
                  <c:v>100.57</c:v>
                </c:pt>
                <c:pt idx="66">
                  <c:v>100.69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886736"/>
        <c:axId val="648887128"/>
      </c:lineChart>
      <c:catAx>
        <c:axId val="648886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887128"/>
        <c:crosses val="autoZero"/>
        <c:auto val="1"/>
        <c:lblAlgn val="ctr"/>
        <c:lblOffset val="100"/>
        <c:noMultiLvlLbl val="0"/>
      </c:catAx>
      <c:valAx>
        <c:axId val="6488871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886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50.11</c:v>
                </c:pt>
                <c:pt idx="1">
                  <c:v>50.98</c:v>
                </c:pt>
                <c:pt idx="2">
                  <c:v>51.05</c:v>
                </c:pt>
                <c:pt idx="3">
                  <c:v>50.7</c:v>
                </c:pt>
                <c:pt idx="4">
                  <c:v>50.77</c:v>
                </c:pt>
                <c:pt idx="5">
                  <c:v>50.02</c:v>
                </c:pt>
                <c:pt idx="6">
                  <c:v>50.68</c:v>
                </c:pt>
                <c:pt idx="7">
                  <c:v>51.64</c:v>
                </c:pt>
                <c:pt idx="8">
                  <c:v>48.2</c:v>
                </c:pt>
                <c:pt idx="9">
                  <c:v>47.69</c:v>
                </c:pt>
                <c:pt idx="10">
                  <c:v>47.63</c:v>
                </c:pt>
                <c:pt idx="11">
                  <c:v>47.92</c:v>
                </c:pt>
                <c:pt idx="12">
                  <c:v>47.77</c:v>
                </c:pt>
                <c:pt idx="13">
                  <c:v>47.87</c:v>
                </c:pt>
                <c:pt idx="14">
                  <c:v>47.8</c:v>
                </c:pt>
                <c:pt idx="15">
                  <c:v>48.06</c:v>
                </c:pt>
                <c:pt idx="16">
                  <c:v>47.86</c:v>
                </c:pt>
                <c:pt idx="17">
                  <c:v>47.7</c:v>
                </c:pt>
                <c:pt idx="18">
                  <c:v>47.52</c:v>
                </c:pt>
                <c:pt idx="19">
                  <c:v>47.74</c:v>
                </c:pt>
                <c:pt idx="20">
                  <c:v>47.66</c:v>
                </c:pt>
                <c:pt idx="21">
                  <c:v>48.08</c:v>
                </c:pt>
                <c:pt idx="22">
                  <c:v>47</c:v>
                </c:pt>
                <c:pt idx="23">
                  <c:v>48.03</c:v>
                </c:pt>
                <c:pt idx="24">
                  <c:v>49.02</c:v>
                </c:pt>
                <c:pt idx="25">
                  <c:v>49.33</c:v>
                </c:pt>
                <c:pt idx="26">
                  <c:v>48.09</c:v>
                </c:pt>
                <c:pt idx="27">
                  <c:v>46.84</c:v>
                </c:pt>
                <c:pt idx="28">
                  <c:v>46</c:v>
                </c:pt>
                <c:pt idx="29">
                  <c:v>45.63</c:v>
                </c:pt>
                <c:pt idx="30">
                  <c:v>45.62</c:v>
                </c:pt>
                <c:pt idx="31">
                  <c:v>45.67</c:v>
                </c:pt>
                <c:pt idx="32">
                  <c:v>44.74</c:v>
                </c:pt>
                <c:pt idx="33">
                  <c:v>44.95</c:v>
                </c:pt>
                <c:pt idx="34">
                  <c:v>45.35</c:v>
                </c:pt>
                <c:pt idx="35">
                  <c:v>45.75</c:v>
                </c:pt>
                <c:pt idx="36">
                  <c:v>45.22</c:v>
                </c:pt>
                <c:pt idx="37">
                  <c:v>44.39</c:v>
                </c:pt>
                <c:pt idx="38">
                  <c:v>44.25</c:v>
                </c:pt>
                <c:pt idx="39">
                  <c:v>44.55</c:v>
                </c:pt>
                <c:pt idx="40">
                  <c:v>44.77</c:v>
                </c:pt>
                <c:pt idx="41">
                  <c:v>42.79</c:v>
                </c:pt>
                <c:pt idx="42">
                  <c:v>42.53</c:v>
                </c:pt>
                <c:pt idx="43">
                  <c:v>42.66</c:v>
                </c:pt>
                <c:pt idx="44">
                  <c:v>42.93</c:v>
                </c:pt>
                <c:pt idx="45">
                  <c:v>43.69</c:v>
                </c:pt>
                <c:pt idx="46">
                  <c:v>43.51</c:v>
                </c:pt>
                <c:pt idx="47">
                  <c:v>43.38</c:v>
                </c:pt>
                <c:pt idx="48">
                  <c:v>44.93</c:v>
                </c:pt>
                <c:pt idx="49">
                  <c:v>44.92</c:v>
                </c:pt>
                <c:pt idx="50">
                  <c:v>43.06</c:v>
                </c:pt>
                <c:pt idx="51">
                  <c:v>44.13</c:v>
                </c:pt>
                <c:pt idx="52">
                  <c:v>45.14</c:v>
                </c:pt>
                <c:pt idx="53">
                  <c:v>44.03</c:v>
                </c:pt>
                <c:pt idx="54">
                  <c:v>43.9</c:v>
                </c:pt>
                <c:pt idx="55">
                  <c:v>43.99</c:v>
                </c:pt>
                <c:pt idx="56">
                  <c:v>44.5</c:v>
                </c:pt>
                <c:pt idx="57">
                  <c:v>44.02</c:v>
                </c:pt>
                <c:pt idx="58">
                  <c:v>42.66</c:v>
                </c:pt>
                <c:pt idx="59">
                  <c:v>41.25</c:v>
                </c:pt>
                <c:pt idx="60">
                  <c:v>40.64</c:v>
                </c:pt>
                <c:pt idx="61">
                  <c:v>39.28</c:v>
                </c:pt>
                <c:pt idx="62">
                  <c:v>38.85</c:v>
                </c:pt>
                <c:pt idx="63">
                  <c:v>39.81</c:v>
                </c:pt>
                <c:pt idx="64">
                  <c:v>40.71</c:v>
                </c:pt>
                <c:pt idx="65">
                  <c:v>40.1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889088"/>
        <c:axId val="648889480"/>
      </c:lineChart>
      <c:dateAx>
        <c:axId val="648889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889480"/>
        <c:crosses val="autoZero"/>
        <c:auto val="1"/>
        <c:lblOffset val="100"/>
        <c:baseTimeUnit val="days"/>
      </c:dateAx>
      <c:valAx>
        <c:axId val="64888948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88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238.42</c:v>
                </c:pt>
                <c:pt idx="1">
                  <c:v>238.27</c:v>
                </c:pt>
                <c:pt idx="2">
                  <c:v>239.78</c:v>
                </c:pt>
                <c:pt idx="3">
                  <c:v>236.47</c:v>
                </c:pt>
                <c:pt idx="4">
                  <c:v>237.11</c:v>
                </c:pt>
                <c:pt idx="5">
                  <c:v>236.74</c:v>
                </c:pt>
                <c:pt idx="6">
                  <c:v>236.44</c:v>
                </c:pt>
                <c:pt idx="7">
                  <c:v>236.28</c:v>
                </c:pt>
                <c:pt idx="8">
                  <c:v>236.49</c:v>
                </c:pt>
                <c:pt idx="9">
                  <c:v>235.09</c:v>
                </c:pt>
                <c:pt idx="10">
                  <c:v>234.72</c:v>
                </c:pt>
                <c:pt idx="11">
                  <c:v>234.92</c:v>
                </c:pt>
                <c:pt idx="12">
                  <c:v>233.7</c:v>
                </c:pt>
                <c:pt idx="13">
                  <c:v>232.77</c:v>
                </c:pt>
                <c:pt idx="14">
                  <c:v>231.51</c:v>
                </c:pt>
                <c:pt idx="15">
                  <c:v>230.6</c:v>
                </c:pt>
                <c:pt idx="16">
                  <c:v>229.24</c:v>
                </c:pt>
                <c:pt idx="17">
                  <c:v>228.94</c:v>
                </c:pt>
                <c:pt idx="18">
                  <c:v>228.93</c:v>
                </c:pt>
                <c:pt idx="19">
                  <c:v>229.34</c:v>
                </c:pt>
                <c:pt idx="20">
                  <c:v>227.77</c:v>
                </c:pt>
                <c:pt idx="21">
                  <c:v>227.62</c:v>
                </c:pt>
                <c:pt idx="22">
                  <c:v>227.53</c:v>
                </c:pt>
                <c:pt idx="23">
                  <c:v>227.55</c:v>
                </c:pt>
                <c:pt idx="24">
                  <c:v>228.97</c:v>
                </c:pt>
                <c:pt idx="25">
                  <c:v>229.33</c:v>
                </c:pt>
                <c:pt idx="26">
                  <c:v>229.57</c:v>
                </c:pt>
                <c:pt idx="27">
                  <c:v>227.6</c:v>
                </c:pt>
                <c:pt idx="28">
                  <c:v>226.15</c:v>
                </c:pt>
                <c:pt idx="29">
                  <c:v>226.74</c:v>
                </c:pt>
                <c:pt idx="30">
                  <c:v>225.91</c:v>
                </c:pt>
                <c:pt idx="31">
                  <c:v>226.75</c:v>
                </c:pt>
                <c:pt idx="32">
                  <c:v>226.25</c:v>
                </c:pt>
                <c:pt idx="33">
                  <c:v>227.05</c:v>
                </c:pt>
                <c:pt idx="34">
                  <c:v>226.53</c:v>
                </c:pt>
                <c:pt idx="35">
                  <c:v>227.1</c:v>
                </c:pt>
                <c:pt idx="36">
                  <c:v>226.46</c:v>
                </c:pt>
                <c:pt idx="37">
                  <c:v>226.46</c:v>
                </c:pt>
                <c:pt idx="38">
                  <c:v>227.21</c:v>
                </c:pt>
                <c:pt idx="39">
                  <c:v>226.4</c:v>
                </c:pt>
                <c:pt idx="40">
                  <c:v>226.58</c:v>
                </c:pt>
                <c:pt idx="41">
                  <c:v>225.24</c:v>
                </c:pt>
                <c:pt idx="42">
                  <c:v>223.53</c:v>
                </c:pt>
                <c:pt idx="43">
                  <c:v>224.35</c:v>
                </c:pt>
                <c:pt idx="44">
                  <c:v>224.4</c:v>
                </c:pt>
                <c:pt idx="45">
                  <c:v>226.27</c:v>
                </c:pt>
                <c:pt idx="46">
                  <c:v>225.71</c:v>
                </c:pt>
                <c:pt idx="47">
                  <c:v>225.38</c:v>
                </c:pt>
                <c:pt idx="48">
                  <c:v>225.77</c:v>
                </c:pt>
                <c:pt idx="49">
                  <c:v>226.4</c:v>
                </c:pt>
                <c:pt idx="50">
                  <c:v>225.53</c:v>
                </c:pt>
                <c:pt idx="51">
                  <c:v>225.04</c:v>
                </c:pt>
                <c:pt idx="53">
                  <c:v>226.81</c:v>
                </c:pt>
                <c:pt idx="54">
                  <c:v>225.88</c:v>
                </c:pt>
                <c:pt idx="55">
                  <c:v>227.76</c:v>
                </c:pt>
                <c:pt idx="56">
                  <c:v>226.25</c:v>
                </c:pt>
                <c:pt idx="57">
                  <c:v>226.51</c:v>
                </c:pt>
                <c:pt idx="58">
                  <c:v>225.15</c:v>
                </c:pt>
                <c:pt idx="59">
                  <c:v>224.6</c:v>
                </c:pt>
                <c:pt idx="60">
                  <c:v>221.7</c:v>
                </c:pt>
                <c:pt idx="61">
                  <c:v>221</c:v>
                </c:pt>
                <c:pt idx="62">
                  <c:v>219.68</c:v>
                </c:pt>
                <c:pt idx="63">
                  <c:v>219.57</c:v>
                </c:pt>
                <c:pt idx="64">
                  <c:v>220.38</c:v>
                </c:pt>
                <c:pt idx="65">
                  <c:v>220.91</c:v>
                </c:pt>
                <c:pt idx="66" formatCode="General">
                  <c:v>220.48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891440"/>
        <c:axId val="648891832"/>
      </c:lineChart>
      <c:dateAx>
        <c:axId val="648891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891832"/>
        <c:crosses val="autoZero"/>
        <c:auto val="1"/>
        <c:lblOffset val="100"/>
        <c:baseTimeUnit val="days"/>
      </c:dateAx>
      <c:valAx>
        <c:axId val="64889183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89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94.92</c:v>
                </c:pt>
                <c:pt idx="1">
                  <c:v>94.76</c:v>
                </c:pt>
                <c:pt idx="2">
                  <c:v>96.74</c:v>
                </c:pt>
                <c:pt idx="3">
                  <c:v>94.81</c:v>
                </c:pt>
                <c:pt idx="4">
                  <c:v>95.63</c:v>
                </c:pt>
                <c:pt idx="5">
                  <c:v>94.7</c:v>
                </c:pt>
                <c:pt idx="6">
                  <c:v>95.31</c:v>
                </c:pt>
                <c:pt idx="7">
                  <c:v>96.71</c:v>
                </c:pt>
                <c:pt idx="8">
                  <c:v>96.57</c:v>
                </c:pt>
                <c:pt idx="9">
                  <c:v>96.35</c:v>
                </c:pt>
                <c:pt idx="10">
                  <c:v>92.43</c:v>
                </c:pt>
                <c:pt idx="11">
                  <c:v>92.13</c:v>
                </c:pt>
                <c:pt idx="12">
                  <c:v>91.8</c:v>
                </c:pt>
                <c:pt idx="13">
                  <c:v>92.63</c:v>
                </c:pt>
                <c:pt idx="14">
                  <c:v>92.21</c:v>
                </c:pt>
                <c:pt idx="15">
                  <c:v>92.47</c:v>
                </c:pt>
                <c:pt idx="16">
                  <c:v>91.69</c:v>
                </c:pt>
                <c:pt idx="17">
                  <c:v>91.78</c:v>
                </c:pt>
                <c:pt idx="18">
                  <c:v>91.39</c:v>
                </c:pt>
                <c:pt idx="19">
                  <c:v>91.56</c:v>
                </c:pt>
                <c:pt idx="20">
                  <c:v>91.11</c:v>
                </c:pt>
                <c:pt idx="21">
                  <c:v>91.74</c:v>
                </c:pt>
                <c:pt idx="22">
                  <c:v>91.74</c:v>
                </c:pt>
                <c:pt idx="24">
                  <c:v>92.99</c:v>
                </c:pt>
                <c:pt idx="25">
                  <c:v>92.01</c:v>
                </c:pt>
                <c:pt idx="26">
                  <c:v>91.01</c:v>
                </c:pt>
                <c:pt idx="27">
                  <c:v>91.87</c:v>
                </c:pt>
                <c:pt idx="28">
                  <c:v>92.27</c:v>
                </c:pt>
                <c:pt idx="29">
                  <c:v>90.17</c:v>
                </c:pt>
                <c:pt idx="30">
                  <c:v>88.67</c:v>
                </c:pt>
                <c:pt idx="31">
                  <c:v>78.459999999999994</c:v>
                </c:pt>
                <c:pt idx="32">
                  <c:v>79.27</c:v>
                </c:pt>
                <c:pt idx="33">
                  <c:v>76.89</c:v>
                </c:pt>
                <c:pt idx="34">
                  <c:v>78.33</c:v>
                </c:pt>
                <c:pt idx="35">
                  <c:v>76.75</c:v>
                </c:pt>
                <c:pt idx="36">
                  <c:v>78.41</c:v>
                </c:pt>
                <c:pt idx="37">
                  <c:v>77.31</c:v>
                </c:pt>
                <c:pt idx="38">
                  <c:v>75.650000000000006</c:v>
                </c:pt>
                <c:pt idx="39">
                  <c:v>74.959999999999994</c:v>
                </c:pt>
                <c:pt idx="40">
                  <c:v>74.569999999999993</c:v>
                </c:pt>
                <c:pt idx="41">
                  <c:v>74.989999999999995</c:v>
                </c:pt>
                <c:pt idx="42">
                  <c:v>75.150000000000006</c:v>
                </c:pt>
                <c:pt idx="43">
                  <c:v>74.66</c:v>
                </c:pt>
                <c:pt idx="44">
                  <c:v>76.56</c:v>
                </c:pt>
                <c:pt idx="45">
                  <c:v>77.03</c:v>
                </c:pt>
                <c:pt idx="46">
                  <c:v>78.33</c:v>
                </c:pt>
                <c:pt idx="47">
                  <c:v>78.03</c:v>
                </c:pt>
                <c:pt idx="48">
                  <c:v>78.150000000000006</c:v>
                </c:pt>
                <c:pt idx="49">
                  <c:v>77.069999999999993</c:v>
                </c:pt>
                <c:pt idx="50">
                  <c:v>76.61</c:v>
                </c:pt>
                <c:pt idx="51">
                  <c:v>77.44</c:v>
                </c:pt>
                <c:pt idx="52">
                  <c:v>76.81</c:v>
                </c:pt>
                <c:pt idx="53">
                  <c:v>77.209999999999994</c:v>
                </c:pt>
                <c:pt idx="54">
                  <c:v>75.14</c:v>
                </c:pt>
                <c:pt idx="55">
                  <c:v>76.88</c:v>
                </c:pt>
                <c:pt idx="56">
                  <c:v>76.260000000000005</c:v>
                </c:pt>
                <c:pt idx="57">
                  <c:v>76.930000000000007</c:v>
                </c:pt>
                <c:pt idx="58">
                  <c:v>79.52</c:v>
                </c:pt>
                <c:pt idx="59">
                  <c:v>77.34</c:v>
                </c:pt>
                <c:pt idx="60">
                  <c:v>76.17</c:v>
                </c:pt>
                <c:pt idx="61">
                  <c:v>74.819999999999993</c:v>
                </c:pt>
                <c:pt idx="62">
                  <c:v>73.34</c:v>
                </c:pt>
                <c:pt idx="63">
                  <c:v>71.78</c:v>
                </c:pt>
                <c:pt idx="64">
                  <c:v>76.849999999999994</c:v>
                </c:pt>
                <c:pt idx="65">
                  <c:v>77.22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893792"/>
        <c:axId val="648894184"/>
      </c:lineChart>
      <c:dateAx>
        <c:axId val="648893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894184"/>
        <c:crosses val="autoZero"/>
        <c:auto val="1"/>
        <c:lblOffset val="100"/>
        <c:baseTimeUnit val="days"/>
      </c:dateAx>
      <c:valAx>
        <c:axId val="6488941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893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72.010000000000005</c:v>
                </c:pt>
                <c:pt idx="1">
                  <c:v>70.94</c:v>
                </c:pt>
                <c:pt idx="2">
                  <c:v>71.099999999999994</c:v>
                </c:pt>
                <c:pt idx="3">
                  <c:v>69.77</c:v>
                </c:pt>
                <c:pt idx="4">
                  <c:v>71.03</c:v>
                </c:pt>
                <c:pt idx="5">
                  <c:v>70.47</c:v>
                </c:pt>
                <c:pt idx="6">
                  <c:v>71.19</c:v>
                </c:pt>
                <c:pt idx="7">
                  <c:v>72.17</c:v>
                </c:pt>
                <c:pt idx="8">
                  <c:v>71.959999999999994</c:v>
                </c:pt>
                <c:pt idx="9">
                  <c:v>71.66</c:v>
                </c:pt>
                <c:pt idx="10">
                  <c:v>71.56</c:v>
                </c:pt>
                <c:pt idx="11">
                  <c:v>71.489999999999995</c:v>
                </c:pt>
                <c:pt idx="12">
                  <c:v>71.53</c:v>
                </c:pt>
                <c:pt idx="13">
                  <c:v>71.48</c:v>
                </c:pt>
                <c:pt idx="14">
                  <c:v>70.540000000000006</c:v>
                </c:pt>
                <c:pt idx="15">
                  <c:v>69.7</c:v>
                </c:pt>
                <c:pt idx="16">
                  <c:v>69.319999999999993</c:v>
                </c:pt>
                <c:pt idx="17">
                  <c:v>69.099999999999994</c:v>
                </c:pt>
                <c:pt idx="18">
                  <c:v>68.61</c:v>
                </c:pt>
                <c:pt idx="19">
                  <c:v>69.319999999999993</c:v>
                </c:pt>
                <c:pt idx="20">
                  <c:v>68.92</c:v>
                </c:pt>
                <c:pt idx="21">
                  <c:v>69.069999999999993</c:v>
                </c:pt>
                <c:pt idx="22">
                  <c:v>69.52</c:v>
                </c:pt>
                <c:pt idx="23">
                  <c:v>69.77</c:v>
                </c:pt>
                <c:pt idx="24">
                  <c:v>70.3</c:v>
                </c:pt>
                <c:pt idx="25">
                  <c:v>70.13</c:v>
                </c:pt>
                <c:pt idx="26">
                  <c:v>69.989999999999995</c:v>
                </c:pt>
                <c:pt idx="27">
                  <c:v>71.13</c:v>
                </c:pt>
                <c:pt idx="28">
                  <c:v>70.28</c:v>
                </c:pt>
                <c:pt idx="29">
                  <c:v>70.12</c:v>
                </c:pt>
                <c:pt idx="30">
                  <c:v>68.819999999999993</c:v>
                </c:pt>
                <c:pt idx="31">
                  <c:v>69.75</c:v>
                </c:pt>
                <c:pt idx="32">
                  <c:v>70.3</c:v>
                </c:pt>
                <c:pt idx="33">
                  <c:v>71</c:v>
                </c:pt>
                <c:pt idx="34">
                  <c:v>70.569999999999993</c:v>
                </c:pt>
                <c:pt idx="35">
                  <c:v>70.5</c:v>
                </c:pt>
                <c:pt idx="36">
                  <c:v>69.290000000000006</c:v>
                </c:pt>
                <c:pt idx="37">
                  <c:v>68.77</c:v>
                </c:pt>
                <c:pt idx="38">
                  <c:v>69.12</c:v>
                </c:pt>
                <c:pt idx="39">
                  <c:v>69.45</c:v>
                </c:pt>
                <c:pt idx="40">
                  <c:v>68.92</c:v>
                </c:pt>
                <c:pt idx="41">
                  <c:v>67.349999999999994</c:v>
                </c:pt>
                <c:pt idx="42">
                  <c:v>67.400000000000006</c:v>
                </c:pt>
                <c:pt idx="43">
                  <c:v>67.989999999999995</c:v>
                </c:pt>
                <c:pt idx="44">
                  <c:v>67.650000000000006</c:v>
                </c:pt>
                <c:pt idx="45">
                  <c:v>67.760000000000005</c:v>
                </c:pt>
                <c:pt idx="46">
                  <c:v>67.61</c:v>
                </c:pt>
                <c:pt idx="47">
                  <c:v>67.78</c:v>
                </c:pt>
                <c:pt idx="48">
                  <c:v>68</c:v>
                </c:pt>
                <c:pt idx="49">
                  <c:v>67.900000000000006</c:v>
                </c:pt>
                <c:pt idx="50">
                  <c:v>67.099999999999994</c:v>
                </c:pt>
                <c:pt idx="51">
                  <c:v>67.08</c:v>
                </c:pt>
                <c:pt idx="52">
                  <c:v>67.12</c:v>
                </c:pt>
                <c:pt idx="53">
                  <c:v>66.95</c:v>
                </c:pt>
                <c:pt idx="54">
                  <c:v>68.430000000000007</c:v>
                </c:pt>
                <c:pt idx="55">
                  <c:v>68.16</c:v>
                </c:pt>
                <c:pt idx="56">
                  <c:v>69.52</c:v>
                </c:pt>
                <c:pt idx="57">
                  <c:v>69.849999999999994</c:v>
                </c:pt>
                <c:pt idx="58">
                  <c:v>69.16</c:v>
                </c:pt>
                <c:pt idx="60">
                  <c:v>67.7</c:v>
                </c:pt>
                <c:pt idx="61">
                  <c:v>67.77</c:v>
                </c:pt>
                <c:pt idx="62">
                  <c:v>67.459999999999994</c:v>
                </c:pt>
                <c:pt idx="63">
                  <c:v>67.75</c:v>
                </c:pt>
                <c:pt idx="64">
                  <c:v>66.83</c:v>
                </c:pt>
                <c:pt idx="65">
                  <c:v>66.790000000000006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759472"/>
        <c:axId val="687759864"/>
      </c:lineChart>
      <c:dateAx>
        <c:axId val="6877594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59864"/>
        <c:crosses val="autoZero"/>
        <c:auto val="1"/>
        <c:lblOffset val="100"/>
        <c:baseTimeUnit val="days"/>
      </c:dateAx>
      <c:valAx>
        <c:axId val="68775986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5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58.89</c:v>
                </c:pt>
                <c:pt idx="1">
                  <c:v>58.71</c:v>
                </c:pt>
                <c:pt idx="2">
                  <c:v>59.73</c:v>
                </c:pt>
                <c:pt idx="3">
                  <c:v>57.88</c:v>
                </c:pt>
                <c:pt idx="4">
                  <c:v>58.06</c:v>
                </c:pt>
                <c:pt idx="5">
                  <c:v>57.81</c:v>
                </c:pt>
                <c:pt idx="6">
                  <c:v>58.49</c:v>
                </c:pt>
                <c:pt idx="7">
                  <c:v>58.36</c:v>
                </c:pt>
                <c:pt idx="8">
                  <c:v>58.25</c:v>
                </c:pt>
                <c:pt idx="9">
                  <c:v>58.09</c:v>
                </c:pt>
                <c:pt idx="10">
                  <c:v>58.12</c:v>
                </c:pt>
                <c:pt idx="11">
                  <c:v>58.55</c:v>
                </c:pt>
                <c:pt idx="12">
                  <c:v>57.98</c:v>
                </c:pt>
                <c:pt idx="13">
                  <c:v>57.08</c:v>
                </c:pt>
                <c:pt idx="14">
                  <c:v>56.86</c:v>
                </c:pt>
                <c:pt idx="15">
                  <c:v>56.73</c:v>
                </c:pt>
                <c:pt idx="16">
                  <c:v>55.63</c:v>
                </c:pt>
                <c:pt idx="17">
                  <c:v>56.34</c:v>
                </c:pt>
                <c:pt idx="18">
                  <c:v>56.55</c:v>
                </c:pt>
                <c:pt idx="19">
                  <c:v>57.27</c:v>
                </c:pt>
                <c:pt idx="20">
                  <c:v>55.75</c:v>
                </c:pt>
                <c:pt idx="21">
                  <c:v>55.91</c:v>
                </c:pt>
                <c:pt idx="23">
                  <c:v>56.33</c:v>
                </c:pt>
                <c:pt idx="24">
                  <c:v>56.08</c:v>
                </c:pt>
                <c:pt idx="25">
                  <c:v>56.59</c:v>
                </c:pt>
                <c:pt idx="26">
                  <c:v>57.18</c:v>
                </c:pt>
                <c:pt idx="27">
                  <c:v>56.62</c:v>
                </c:pt>
                <c:pt idx="28">
                  <c:v>54.7</c:v>
                </c:pt>
                <c:pt idx="29">
                  <c:v>54.25</c:v>
                </c:pt>
                <c:pt idx="30">
                  <c:v>55.07</c:v>
                </c:pt>
                <c:pt idx="31">
                  <c:v>54.58</c:v>
                </c:pt>
                <c:pt idx="32">
                  <c:v>54.27</c:v>
                </c:pt>
                <c:pt idx="33">
                  <c:v>53.78</c:v>
                </c:pt>
                <c:pt idx="34">
                  <c:v>55.31</c:v>
                </c:pt>
                <c:pt idx="35">
                  <c:v>54.5</c:v>
                </c:pt>
                <c:pt idx="36">
                  <c:v>54.8</c:v>
                </c:pt>
                <c:pt idx="37">
                  <c:v>54.62</c:v>
                </c:pt>
                <c:pt idx="38">
                  <c:v>54.24</c:v>
                </c:pt>
                <c:pt idx="39">
                  <c:v>55.04</c:v>
                </c:pt>
                <c:pt idx="40">
                  <c:v>55.18</c:v>
                </c:pt>
                <c:pt idx="41">
                  <c:v>56.05</c:v>
                </c:pt>
                <c:pt idx="42">
                  <c:v>56</c:v>
                </c:pt>
                <c:pt idx="43">
                  <c:v>55.11</c:v>
                </c:pt>
                <c:pt idx="44">
                  <c:v>54.84</c:v>
                </c:pt>
                <c:pt idx="45">
                  <c:v>55.32</c:v>
                </c:pt>
                <c:pt idx="46">
                  <c:v>55.95</c:v>
                </c:pt>
                <c:pt idx="47">
                  <c:v>55.96</c:v>
                </c:pt>
                <c:pt idx="48">
                  <c:v>55.75</c:v>
                </c:pt>
                <c:pt idx="49">
                  <c:v>55.71</c:v>
                </c:pt>
                <c:pt idx="50">
                  <c:v>56.1</c:v>
                </c:pt>
                <c:pt idx="51">
                  <c:v>55.22</c:v>
                </c:pt>
                <c:pt idx="52">
                  <c:v>55.34</c:v>
                </c:pt>
                <c:pt idx="53">
                  <c:v>55.19</c:v>
                </c:pt>
                <c:pt idx="54">
                  <c:v>54.7</c:v>
                </c:pt>
                <c:pt idx="55">
                  <c:v>55.84</c:v>
                </c:pt>
                <c:pt idx="56">
                  <c:v>55.78</c:v>
                </c:pt>
                <c:pt idx="57">
                  <c:v>57.14</c:v>
                </c:pt>
                <c:pt idx="58">
                  <c:v>57.29</c:v>
                </c:pt>
                <c:pt idx="59">
                  <c:v>57.28</c:v>
                </c:pt>
                <c:pt idx="60">
                  <c:v>55.55</c:v>
                </c:pt>
                <c:pt idx="61">
                  <c:v>54.35</c:v>
                </c:pt>
                <c:pt idx="62">
                  <c:v>53.58</c:v>
                </c:pt>
                <c:pt idx="63">
                  <c:v>54.34</c:v>
                </c:pt>
                <c:pt idx="64">
                  <c:v>52.92</c:v>
                </c:pt>
                <c:pt idx="65">
                  <c:v>51.86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761824"/>
        <c:axId val="687762216"/>
      </c:lineChart>
      <c:dateAx>
        <c:axId val="687761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62216"/>
        <c:crosses val="autoZero"/>
        <c:auto val="1"/>
        <c:lblOffset val="100"/>
        <c:baseTimeUnit val="days"/>
      </c:dateAx>
      <c:valAx>
        <c:axId val="68776221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61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AA!$W$2:$W$427</c:f>
              <c:strCache>
                <c:ptCount val="67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19-Dec-16</c:v>
                </c:pt>
                <c:pt idx="51">
                  <c:v>16-Dec-16</c:v>
                </c:pt>
                <c:pt idx="52">
                  <c:v>15-Dec-16</c:v>
                </c:pt>
                <c:pt idx="53">
                  <c:v>14-Dec-16</c:v>
                </c:pt>
                <c:pt idx="54">
                  <c:v>13-Dec-16</c:v>
                </c:pt>
                <c:pt idx="55">
                  <c:v>12-Dec-16</c:v>
                </c:pt>
                <c:pt idx="56">
                  <c:v>9-Dec-16</c:v>
                </c:pt>
                <c:pt idx="57">
                  <c:v>8-Dec-16</c:v>
                </c:pt>
                <c:pt idx="58">
                  <c:v>7-Dec-16</c:v>
                </c:pt>
                <c:pt idx="59">
                  <c:v>6-Dec-16</c:v>
                </c:pt>
                <c:pt idx="60">
                  <c:v>5-Dec-16</c:v>
                </c:pt>
                <c:pt idx="61">
                  <c:v>2-Dec-16</c:v>
                </c:pt>
                <c:pt idx="62">
                  <c:v>1-Dec-16</c:v>
                </c:pt>
                <c:pt idx="63">
                  <c:v>30-Nov-16</c:v>
                </c:pt>
                <c:pt idx="64">
                  <c:v>29-Nov-16</c:v>
                </c:pt>
                <c:pt idx="65">
                  <c:v>28-Nov-16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36.380000000000003</c:v>
                </c:pt>
                <c:pt idx="1">
                  <c:v>35.85</c:v>
                </c:pt>
                <c:pt idx="2">
                  <c:v>37.99</c:v>
                </c:pt>
                <c:pt idx="3">
                  <c:v>34.590000000000003</c:v>
                </c:pt>
                <c:pt idx="4">
                  <c:v>34.78</c:v>
                </c:pt>
                <c:pt idx="5">
                  <c:v>34.479999999999997</c:v>
                </c:pt>
                <c:pt idx="6">
                  <c:v>34.32</c:v>
                </c:pt>
                <c:pt idx="7">
                  <c:v>36.6</c:v>
                </c:pt>
                <c:pt idx="8">
                  <c:v>36.71</c:v>
                </c:pt>
                <c:pt idx="9">
                  <c:v>36.21</c:v>
                </c:pt>
                <c:pt idx="10">
                  <c:v>36.46</c:v>
                </c:pt>
                <c:pt idx="11">
                  <c:v>37.869999999999997</c:v>
                </c:pt>
                <c:pt idx="12">
                  <c:v>38.56</c:v>
                </c:pt>
                <c:pt idx="13">
                  <c:v>38.479999999999997</c:v>
                </c:pt>
                <c:pt idx="14">
                  <c:v>38.299999999999997</c:v>
                </c:pt>
                <c:pt idx="15">
                  <c:v>37.42</c:v>
                </c:pt>
                <c:pt idx="16">
                  <c:v>37.54</c:v>
                </c:pt>
                <c:pt idx="17">
                  <c:v>37.97</c:v>
                </c:pt>
                <c:pt idx="18">
                  <c:v>37.75</c:v>
                </c:pt>
                <c:pt idx="19">
                  <c:v>36.86</c:v>
                </c:pt>
                <c:pt idx="20">
                  <c:v>37.68</c:v>
                </c:pt>
                <c:pt idx="21">
                  <c:v>36.26</c:v>
                </c:pt>
                <c:pt idx="22">
                  <c:v>36.450000000000003</c:v>
                </c:pt>
                <c:pt idx="23">
                  <c:v>36.549999999999997</c:v>
                </c:pt>
                <c:pt idx="24">
                  <c:v>36.67</c:v>
                </c:pt>
                <c:pt idx="25">
                  <c:v>36.299999999999997</c:v>
                </c:pt>
                <c:pt idx="26">
                  <c:v>36.53</c:v>
                </c:pt>
                <c:pt idx="27">
                  <c:v>37.5</c:v>
                </c:pt>
                <c:pt idx="28">
                  <c:v>36.29</c:v>
                </c:pt>
                <c:pt idx="29">
                  <c:v>35.659999999999997</c:v>
                </c:pt>
                <c:pt idx="30">
                  <c:v>35.42</c:v>
                </c:pt>
                <c:pt idx="31">
                  <c:v>34.81</c:v>
                </c:pt>
                <c:pt idx="32">
                  <c:v>32.64</c:v>
                </c:pt>
                <c:pt idx="33">
                  <c:v>33.01</c:v>
                </c:pt>
                <c:pt idx="34">
                  <c:v>33.04</c:v>
                </c:pt>
                <c:pt idx="35">
                  <c:v>31.97</c:v>
                </c:pt>
                <c:pt idx="36">
                  <c:v>30.98</c:v>
                </c:pt>
                <c:pt idx="37">
                  <c:v>29.48</c:v>
                </c:pt>
                <c:pt idx="38">
                  <c:v>30.68</c:v>
                </c:pt>
                <c:pt idx="39">
                  <c:v>30.65</c:v>
                </c:pt>
                <c:pt idx="40">
                  <c:v>30.26</c:v>
                </c:pt>
                <c:pt idx="41">
                  <c:v>28.83</c:v>
                </c:pt>
                <c:pt idx="42">
                  <c:v>28.08</c:v>
                </c:pt>
                <c:pt idx="43">
                  <c:v>28.89</c:v>
                </c:pt>
                <c:pt idx="44">
                  <c:v>29.43</c:v>
                </c:pt>
                <c:pt idx="45">
                  <c:v>29.65</c:v>
                </c:pt>
                <c:pt idx="46">
                  <c:v>29.71</c:v>
                </c:pt>
                <c:pt idx="47">
                  <c:v>29.75</c:v>
                </c:pt>
                <c:pt idx="48">
                  <c:v>30.43</c:v>
                </c:pt>
                <c:pt idx="49">
                  <c:v>30.16</c:v>
                </c:pt>
                <c:pt idx="50">
                  <c:v>29.29</c:v>
                </c:pt>
                <c:pt idx="51">
                  <c:v>29.4</c:v>
                </c:pt>
                <c:pt idx="52">
                  <c:v>29.79</c:v>
                </c:pt>
                <c:pt idx="53">
                  <c:v>30.45</c:v>
                </c:pt>
                <c:pt idx="54">
                  <c:v>30.24</c:v>
                </c:pt>
                <c:pt idx="55">
                  <c:v>31.24</c:v>
                </c:pt>
                <c:pt idx="56">
                  <c:v>32.049999999999997</c:v>
                </c:pt>
                <c:pt idx="57">
                  <c:v>31.31</c:v>
                </c:pt>
                <c:pt idx="58">
                  <c:v>30.9</c:v>
                </c:pt>
                <c:pt idx="59">
                  <c:v>31.15</c:v>
                </c:pt>
                <c:pt idx="60">
                  <c:v>31.22</c:v>
                </c:pt>
                <c:pt idx="61">
                  <c:v>29.04</c:v>
                </c:pt>
                <c:pt idx="62">
                  <c:v>28.88</c:v>
                </c:pt>
                <c:pt idx="63">
                  <c:v>28.97</c:v>
                </c:pt>
                <c:pt idx="64">
                  <c:v>29.73</c:v>
                </c:pt>
                <c:pt idx="65">
                  <c:v>30.86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764176"/>
        <c:axId val="687764568"/>
      </c:lineChart>
      <c:dateAx>
        <c:axId val="687764176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64568"/>
        <c:crosses val="autoZero"/>
        <c:auto val="0"/>
        <c:lblOffset val="100"/>
        <c:baseTimeUnit val="days"/>
      </c:dateAx>
      <c:valAx>
        <c:axId val="6877645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64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23.37</c:v>
                </c:pt>
                <c:pt idx="1">
                  <c:v>23.38</c:v>
                </c:pt>
                <c:pt idx="2">
                  <c:v>23.78</c:v>
                </c:pt>
                <c:pt idx="3">
                  <c:v>23.86</c:v>
                </c:pt>
                <c:pt idx="4">
                  <c:v>24.1</c:v>
                </c:pt>
                <c:pt idx="5">
                  <c:v>23.27</c:v>
                </c:pt>
                <c:pt idx="6">
                  <c:v>23.28</c:v>
                </c:pt>
                <c:pt idx="7">
                  <c:v>23.84</c:v>
                </c:pt>
                <c:pt idx="8">
                  <c:v>23.67</c:v>
                </c:pt>
                <c:pt idx="9">
                  <c:v>23.19</c:v>
                </c:pt>
                <c:pt idx="10">
                  <c:v>22.56</c:v>
                </c:pt>
                <c:pt idx="11">
                  <c:v>19.670000000000002</c:v>
                </c:pt>
                <c:pt idx="12">
                  <c:v>19.61</c:v>
                </c:pt>
                <c:pt idx="13">
                  <c:v>18.78</c:v>
                </c:pt>
                <c:pt idx="14">
                  <c:v>19.09</c:v>
                </c:pt>
                <c:pt idx="15">
                  <c:v>18.760000000000002</c:v>
                </c:pt>
                <c:pt idx="16">
                  <c:v>18.73</c:v>
                </c:pt>
                <c:pt idx="17">
                  <c:v>18.420000000000002</c:v>
                </c:pt>
                <c:pt idx="18">
                  <c:v>18.309999999999999</c:v>
                </c:pt>
                <c:pt idx="19">
                  <c:v>18.36</c:v>
                </c:pt>
                <c:pt idx="20">
                  <c:v>18.18</c:v>
                </c:pt>
                <c:pt idx="21">
                  <c:v>18.53</c:v>
                </c:pt>
                <c:pt idx="22">
                  <c:v>18.510000000000002</c:v>
                </c:pt>
                <c:pt idx="23">
                  <c:v>17.89</c:v>
                </c:pt>
                <c:pt idx="24">
                  <c:v>18.2</c:v>
                </c:pt>
                <c:pt idx="25">
                  <c:v>18.670000000000002</c:v>
                </c:pt>
                <c:pt idx="26">
                  <c:v>18.63</c:v>
                </c:pt>
                <c:pt idx="27">
                  <c:v>18.61</c:v>
                </c:pt>
                <c:pt idx="28">
                  <c:v>18.399999999999999</c:v>
                </c:pt>
                <c:pt idx="29">
                  <c:v>17.760000000000002</c:v>
                </c:pt>
                <c:pt idx="30">
                  <c:v>17.829999999999998</c:v>
                </c:pt>
                <c:pt idx="31">
                  <c:v>18.28</c:v>
                </c:pt>
                <c:pt idx="32">
                  <c:v>17.97</c:v>
                </c:pt>
                <c:pt idx="33">
                  <c:v>18.100000000000001</c:v>
                </c:pt>
                <c:pt idx="34">
                  <c:v>18.16</c:v>
                </c:pt>
                <c:pt idx="35">
                  <c:v>17.95</c:v>
                </c:pt>
                <c:pt idx="36">
                  <c:v>18.21</c:v>
                </c:pt>
                <c:pt idx="37">
                  <c:v>17.809999999999999</c:v>
                </c:pt>
                <c:pt idx="38">
                  <c:v>17.579999999999998</c:v>
                </c:pt>
                <c:pt idx="39">
                  <c:v>18.260000000000002</c:v>
                </c:pt>
                <c:pt idx="40">
                  <c:v>18.14</c:v>
                </c:pt>
                <c:pt idx="41">
                  <c:v>17.84</c:v>
                </c:pt>
                <c:pt idx="42">
                  <c:v>18.670000000000002</c:v>
                </c:pt>
                <c:pt idx="43">
                  <c:v>18.489999999999998</c:v>
                </c:pt>
                <c:pt idx="44">
                  <c:v>17.86</c:v>
                </c:pt>
                <c:pt idx="45">
                  <c:v>14.51</c:v>
                </c:pt>
                <c:pt idx="46">
                  <c:v>14.15</c:v>
                </c:pt>
                <c:pt idx="47">
                  <c:v>14.02</c:v>
                </c:pt>
                <c:pt idx="48">
                  <c:v>14.6</c:v>
                </c:pt>
                <c:pt idx="49">
                  <c:v>14.7</c:v>
                </c:pt>
                <c:pt idx="50">
                  <c:v>14.48</c:v>
                </c:pt>
                <c:pt idx="51">
                  <c:v>14.57</c:v>
                </c:pt>
                <c:pt idx="52">
                  <c:v>14.9</c:v>
                </c:pt>
                <c:pt idx="53">
                  <c:v>15.29</c:v>
                </c:pt>
                <c:pt idx="54">
                  <c:v>15.51</c:v>
                </c:pt>
                <c:pt idx="55">
                  <c:v>15.58</c:v>
                </c:pt>
                <c:pt idx="56">
                  <c:v>16.72</c:v>
                </c:pt>
                <c:pt idx="57">
                  <c:v>17.010000000000002</c:v>
                </c:pt>
                <c:pt idx="58">
                  <c:v>15.71</c:v>
                </c:pt>
                <c:pt idx="59">
                  <c:v>15.4</c:v>
                </c:pt>
                <c:pt idx="60">
                  <c:v>15.29</c:v>
                </c:pt>
                <c:pt idx="61">
                  <c:v>14.85</c:v>
                </c:pt>
                <c:pt idx="62">
                  <c:v>14.4</c:v>
                </c:pt>
                <c:pt idx="63">
                  <c:v>14.85</c:v>
                </c:pt>
                <c:pt idx="64">
                  <c:v>15.35</c:v>
                </c:pt>
                <c:pt idx="65">
                  <c:v>15.74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766528"/>
        <c:axId val="687766920"/>
      </c:lineChart>
      <c:dateAx>
        <c:axId val="687766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66920"/>
        <c:crosses val="autoZero"/>
        <c:auto val="1"/>
        <c:lblOffset val="100"/>
        <c:baseTimeUnit val="days"/>
      </c:dateAx>
      <c:valAx>
        <c:axId val="68776692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66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30.95</c:v>
                </c:pt>
                <c:pt idx="1">
                  <c:v>31.56</c:v>
                </c:pt>
                <c:pt idx="2">
                  <c:v>32.15</c:v>
                </c:pt>
                <c:pt idx="3">
                  <c:v>31.42</c:v>
                </c:pt>
                <c:pt idx="4">
                  <c:v>31.49</c:v>
                </c:pt>
                <c:pt idx="5">
                  <c:v>31.15</c:v>
                </c:pt>
                <c:pt idx="6">
                  <c:v>31.82</c:v>
                </c:pt>
                <c:pt idx="7">
                  <c:v>33.22</c:v>
                </c:pt>
                <c:pt idx="8">
                  <c:v>33.93</c:v>
                </c:pt>
                <c:pt idx="9">
                  <c:v>34.11</c:v>
                </c:pt>
                <c:pt idx="10">
                  <c:v>33.520000000000003</c:v>
                </c:pt>
                <c:pt idx="11">
                  <c:v>34.49</c:v>
                </c:pt>
                <c:pt idx="13">
                  <c:v>36.32</c:v>
                </c:pt>
                <c:pt idx="14">
                  <c:v>36.71</c:v>
                </c:pt>
                <c:pt idx="15">
                  <c:v>35.840000000000003</c:v>
                </c:pt>
                <c:pt idx="16">
                  <c:v>34.49</c:v>
                </c:pt>
                <c:pt idx="17">
                  <c:v>34.94</c:v>
                </c:pt>
                <c:pt idx="18">
                  <c:v>34.89</c:v>
                </c:pt>
                <c:pt idx="19">
                  <c:v>35.49</c:v>
                </c:pt>
                <c:pt idx="20">
                  <c:v>35.68</c:v>
                </c:pt>
                <c:pt idx="21">
                  <c:v>35.630000000000003</c:v>
                </c:pt>
                <c:pt idx="22">
                  <c:v>36.630000000000003</c:v>
                </c:pt>
                <c:pt idx="23">
                  <c:v>35.29</c:v>
                </c:pt>
                <c:pt idx="24">
                  <c:v>35.39</c:v>
                </c:pt>
                <c:pt idx="25">
                  <c:v>36.51</c:v>
                </c:pt>
                <c:pt idx="26">
                  <c:v>36.21</c:v>
                </c:pt>
                <c:pt idx="27">
                  <c:v>36.54</c:v>
                </c:pt>
                <c:pt idx="28">
                  <c:v>36.85</c:v>
                </c:pt>
                <c:pt idx="29">
                  <c:v>35.25</c:v>
                </c:pt>
                <c:pt idx="30">
                  <c:v>34.200000000000003</c:v>
                </c:pt>
                <c:pt idx="31">
                  <c:v>32.25</c:v>
                </c:pt>
                <c:pt idx="32">
                  <c:v>32.32</c:v>
                </c:pt>
                <c:pt idx="33">
                  <c:v>32.89</c:v>
                </c:pt>
                <c:pt idx="34">
                  <c:v>33.979999999999997</c:v>
                </c:pt>
                <c:pt idx="35">
                  <c:v>34.51</c:v>
                </c:pt>
                <c:pt idx="36">
                  <c:v>34.19</c:v>
                </c:pt>
                <c:pt idx="37">
                  <c:v>32.729999999999997</c:v>
                </c:pt>
                <c:pt idx="38">
                  <c:v>33.770000000000003</c:v>
                </c:pt>
                <c:pt idx="39">
                  <c:v>33.47</c:v>
                </c:pt>
                <c:pt idx="40">
                  <c:v>33.049999999999997</c:v>
                </c:pt>
                <c:pt idx="41">
                  <c:v>33.04</c:v>
                </c:pt>
                <c:pt idx="42">
                  <c:v>31.87</c:v>
                </c:pt>
                <c:pt idx="43">
                  <c:v>31.48</c:v>
                </c:pt>
                <c:pt idx="44">
                  <c:v>31.9</c:v>
                </c:pt>
                <c:pt idx="45">
                  <c:v>31.63</c:v>
                </c:pt>
                <c:pt idx="46">
                  <c:v>31.95</c:v>
                </c:pt>
                <c:pt idx="47">
                  <c:v>30.71</c:v>
                </c:pt>
                <c:pt idx="48">
                  <c:v>30.11</c:v>
                </c:pt>
                <c:pt idx="49">
                  <c:v>28.9</c:v>
                </c:pt>
                <c:pt idx="50">
                  <c:v>28.99</c:v>
                </c:pt>
                <c:pt idx="51">
                  <c:v>28.29</c:v>
                </c:pt>
                <c:pt idx="52">
                  <c:v>29.48</c:v>
                </c:pt>
                <c:pt idx="53">
                  <c:v>28.65</c:v>
                </c:pt>
                <c:pt idx="54">
                  <c:v>28.11</c:v>
                </c:pt>
                <c:pt idx="55">
                  <c:v>28.41</c:v>
                </c:pt>
                <c:pt idx="56">
                  <c:v>29</c:v>
                </c:pt>
                <c:pt idx="57">
                  <c:v>30.95</c:v>
                </c:pt>
                <c:pt idx="58">
                  <c:v>30.37</c:v>
                </c:pt>
                <c:pt idx="59">
                  <c:v>29.72</c:v>
                </c:pt>
                <c:pt idx="60">
                  <c:v>28.57</c:v>
                </c:pt>
                <c:pt idx="61">
                  <c:v>28.58</c:v>
                </c:pt>
                <c:pt idx="62">
                  <c:v>28.38</c:v>
                </c:pt>
                <c:pt idx="63">
                  <c:v>28.72</c:v>
                </c:pt>
                <c:pt idx="64">
                  <c:v>28.94</c:v>
                </c:pt>
                <c:pt idx="65">
                  <c:v>27.43</c:v>
                </c:pt>
                <c:pt idx="66">
                  <c:v>28.19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768880"/>
        <c:axId val="687769272"/>
      </c:lineChart>
      <c:dateAx>
        <c:axId val="687768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69272"/>
        <c:crosses val="autoZero"/>
        <c:auto val="1"/>
        <c:lblOffset val="100"/>
        <c:baseTimeUnit val="days"/>
      </c:dateAx>
      <c:valAx>
        <c:axId val="687769272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68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Urea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CF!$AI$2:$AI$123</c:f>
              <c:numCache>
                <c:formatCode>m/d/yyyy</c:formatCode>
                <c:ptCount val="122"/>
                <c:pt idx="0">
                  <c:v>#N/A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  <c:pt idx="66">
                  <c:v>42691</c:v>
                </c:pt>
                <c:pt idx="67">
                  <c:v>42690</c:v>
                </c:pt>
                <c:pt idx="68">
                  <c:v>42689</c:v>
                </c:pt>
                <c:pt idx="69">
                  <c:v>42688</c:v>
                </c:pt>
                <c:pt idx="70">
                  <c:v>42685</c:v>
                </c:pt>
                <c:pt idx="71">
                  <c:v>42684</c:v>
                </c:pt>
                <c:pt idx="72">
                  <c:v>42683</c:v>
                </c:pt>
                <c:pt idx="73">
                  <c:v>42682</c:v>
                </c:pt>
                <c:pt idx="74">
                  <c:v>42681</c:v>
                </c:pt>
                <c:pt idx="75">
                  <c:v>42678</c:v>
                </c:pt>
                <c:pt idx="76">
                  <c:v>42677</c:v>
                </c:pt>
                <c:pt idx="77">
                  <c:v>42676</c:v>
                </c:pt>
                <c:pt idx="78">
                  <c:v>42675</c:v>
                </c:pt>
                <c:pt idx="79">
                  <c:v>42674</c:v>
                </c:pt>
                <c:pt idx="80">
                  <c:v>42671</c:v>
                </c:pt>
                <c:pt idx="81">
                  <c:v>42670</c:v>
                </c:pt>
                <c:pt idx="82">
                  <c:v>42669</c:v>
                </c:pt>
                <c:pt idx="83">
                  <c:v>42668</c:v>
                </c:pt>
                <c:pt idx="84">
                  <c:v>42667</c:v>
                </c:pt>
                <c:pt idx="85">
                  <c:v>42664</c:v>
                </c:pt>
                <c:pt idx="86">
                  <c:v>42663</c:v>
                </c:pt>
                <c:pt idx="87">
                  <c:v>42662</c:v>
                </c:pt>
                <c:pt idx="88">
                  <c:v>42661</c:v>
                </c:pt>
                <c:pt idx="89">
                  <c:v>42660</c:v>
                </c:pt>
                <c:pt idx="90">
                  <c:v>42657</c:v>
                </c:pt>
                <c:pt idx="91">
                  <c:v>42656</c:v>
                </c:pt>
                <c:pt idx="92">
                  <c:v>42655</c:v>
                </c:pt>
                <c:pt idx="93">
                  <c:v>42654</c:v>
                </c:pt>
                <c:pt idx="94">
                  <c:v>42653</c:v>
                </c:pt>
                <c:pt idx="95">
                  <c:v>42650</c:v>
                </c:pt>
                <c:pt idx="96">
                  <c:v>42649</c:v>
                </c:pt>
                <c:pt idx="97">
                  <c:v>42648</c:v>
                </c:pt>
                <c:pt idx="98">
                  <c:v>42647</c:v>
                </c:pt>
                <c:pt idx="99">
                  <c:v>42646</c:v>
                </c:pt>
                <c:pt idx="100">
                  <c:v>42647</c:v>
                </c:pt>
                <c:pt idx="101">
                  <c:v>42646</c:v>
                </c:pt>
              </c:numCache>
            </c:numRef>
          </c:xVal>
          <c:yVal>
            <c:numRef>
              <c:f>CF!$AJ$2:$AJ$123</c:f>
              <c:numCache>
                <c:formatCode>General</c:formatCode>
                <c:ptCount val="122"/>
                <c:pt idx="0">
                  <c:v>232.25</c:v>
                </c:pt>
                <c:pt idx="1">
                  <c:v>226</c:v>
                </c:pt>
                <c:pt idx="2">
                  <c:v>227</c:v>
                </c:pt>
                <c:pt idx="3">
                  <c:v>235.5</c:v>
                </c:pt>
                <c:pt idx="4">
                  <c:v>236.25</c:v>
                </c:pt>
                <c:pt idx="5">
                  <c:v>235.5</c:v>
                </c:pt>
                <c:pt idx="6">
                  <c:v>238.75</c:v>
                </c:pt>
                <c:pt idx="7">
                  <c:v>242</c:v>
                </c:pt>
                <c:pt idx="8">
                  <c:v>243</c:v>
                </c:pt>
                <c:pt idx="9">
                  <c:v>250</c:v>
                </c:pt>
                <c:pt idx="10">
                  <c:v>255</c:v>
                </c:pt>
                <c:pt idx="11">
                  <c:v>255.25</c:v>
                </c:pt>
                <c:pt idx="12">
                  <c:v>255.25</c:v>
                </c:pt>
                <c:pt idx="13">
                  <c:v>255.75</c:v>
                </c:pt>
                <c:pt idx="14">
                  <c:v>255.75</c:v>
                </c:pt>
                <c:pt idx="15">
                  <c:v>254</c:v>
                </c:pt>
                <c:pt idx="16">
                  <c:v>254.25</c:v>
                </c:pt>
                <c:pt idx="17">
                  <c:v>256.25</c:v>
                </c:pt>
                <c:pt idx="18">
                  <c:v>257.75</c:v>
                </c:pt>
                <c:pt idx="19">
                  <c:v>258</c:v>
                </c:pt>
                <c:pt idx="20">
                  <c:v>256</c:v>
                </c:pt>
                <c:pt idx="21">
                  <c:v>256.25</c:v>
                </c:pt>
                <c:pt idx="22">
                  <c:v>255.75</c:v>
                </c:pt>
                <c:pt idx="23">
                  <c:v>255.75</c:v>
                </c:pt>
                <c:pt idx="24">
                  <c:v>260</c:v>
                </c:pt>
                <c:pt idx="25">
                  <c:v>261.25</c:v>
                </c:pt>
                <c:pt idx="26">
                  <c:v>260</c:v>
                </c:pt>
                <c:pt idx="27">
                  <c:v>265.25</c:v>
                </c:pt>
                <c:pt idx="28">
                  <c:v>267.25</c:v>
                </c:pt>
                <c:pt idx="29">
                  <c:v>266.75</c:v>
                </c:pt>
                <c:pt idx="30">
                  <c:v>267.25</c:v>
                </c:pt>
                <c:pt idx="31">
                  <c:v>262.25</c:v>
                </c:pt>
                <c:pt idx="32">
                  <c:v>258.75</c:v>
                </c:pt>
                <c:pt idx="33">
                  <c:v>251.5</c:v>
                </c:pt>
                <c:pt idx="34">
                  <c:v>250.25</c:v>
                </c:pt>
                <c:pt idx="35">
                  <c:v>247.5</c:v>
                </c:pt>
                <c:pt idx="36">
                  <c:v>247.5</c:v>
                </c:pt>
                <c:pt idx="37">
                  <c:v>248</c:v>
                </c:pt>
                <c:pt idx="38">
                  <c:v>248</c:v>
                </c:pt>
                <c:pt idx="39">
                  <c:v>247.5</c:v>
                </c:pt>
                <c:pt idx="40">
                  <c:v>250</c:v>
                </c:pt>
                <c:pt idx="41">
                  <c:v>245</c:v>
                </c:pt>
                <c:pt idx="42">
                  <c:v>245</c:v>
                </c:pt>
                <c:pt idx="43">
                  <c:v>244.25</c:v>
                </c:pt>
                <c:pt idx="44">
                  <c:v>244.5</c:v>
                </c:pt>
                <c:pt idx="45">
                  <c:v>245</c:v>
                </c:pt>
                <c:pt idx="46">
                  <c:v>245</c:v>
                </c:pt>
                <c:pt idx="47">
                  <c:v>246</c:v>
                </c:pt>
                <c:pt idx="48">
                  <c:v>240</c:v>
                </c:pt>
                <c:pt idx="49">
                  <c:v>236.5</c:v>
                </c:pt>
                <c:pt idx="50">
                  <c:v>237</c:v>
                </c:pt>
                <c:pt idx="51">
                  <c:v>233.5</c:v>
                </c:pt>
                <c:pt idx="52">
                  <c:v>232.25</c:v>
                </c:pt>
                <c:pt idx="53">
                  <c:v>227.75</c:v>
                </c:pt>
                <c:pt idx="54">
                  <c:v>228.5</c:v>
                </c:pt>
                <c:pt idx="55">
                  <c:v>231.25</c:v>
                </c:pt>
                <c:pt idx="56">
                  <c:v>231.25</c:v>
                </c:pt>
                <c:pt idx="57">
                  <c:v>222.75</c:v>
                </c:pt>
                <c:pt idx="58">
                  <c:v>222</c:v>
                </c:pt>
                <c:pt idx="59">
                  <c:v>226.75</c:v>
                </c:pt>
                <c:pt idx="60">
                  <c:v>229.5</c:v>
                </c:pt>
                <c:pt idx="61">
                  <c:v>225</c:v>
                </c:pt>
                <c:pt idx="62">
                  <c:v>225</c:v>
                </c:pt>
                <c:pt idx="63">
                  <c:v>231</c:v>
                </c:pt>
                <c:pt idx="64">
                  <c:v>250.25</c:v>
                </c:pt>
                <c:pt idx="65">
                  <c:v>252.75</c:v>
                </c:pt>
                <c:pt idx="66">
                  <c:v>251.75</c:v>
                </c:pt>
                <c:pt idx="67">
                  <c:v>248.25</c:v>
                </c:pt>
                <c:pt idx="68">
                  <c:v>242</c:v>
                </c:pt>
                <c:pt idx="69">
                  <c:v>234.5</c:v>
                </c:pt>
                <c:pt idx="70">
                  <c:v>231.25</c:v>
                </c:pt>
                <c:pt idx="71">
                  <c:v>227</c:v>
                </c:pt>
                <c:pt idx="72">
                  <c:v>224.25</c:v>
                </c:pt>
                <c:pt idx="73">
                  <c:v>223.25</c:v>
                </c:pt>
                <c:pt idx="74">
                  <c:v>223.5</c:v>
                </c:pt>
                <c:pt idx="75">
                  <c:v>223</c:v>
                </c:pt>
                <c:pt idx="76">
                  <c:v>223.5</c:v>
                </c:pt>
                <c:pt idx="77">
                  <c:v>226.75</c:v>
                </c:pt>
                <c:pt idx="78">
                  <c:v>219.5</c:v>
                </c:pt>
                <c:pt idx="79">
                  <c:v>220</c:v>
                </c:pt>
                <c:pt idx="80">
                  <c:v>217.5</c:v>
                </c:pt>
                <c:pt idx="81">
                  <c:v>215.75</c:v>
                </c:pt>
                <c:pt idx="82">
                  <c:v>213.5</c:v>
                </c:pt>
                <c:pt idx="83">
                  <c:v>212.75</c:v>
                </c:pt>
                <c:pt idx="84">
                  <c:v>212.5</c:v>
                </c:pt>
                <c:pt idx="85">
                  <c:v>212</c:v>
                </c:pt>
                <c:pt idx="86">
                  <c:v>212.75</c:v>
                </c:pt>
                <c:pt idx="87">
                  <c:v>213</c:v>
                </c:pt>
                <c:pt idx="88">
                  <c:v>214.5</c:v>
                </c:pt>
                <c:pt idx="89">
                  <c:v>207</c:v>
                </c:pt>
                <c:pt idx="90">
                  <c:v>205</c:v>
                </c:pt>
                <c:pt idx="91">
                  <c:v>204.75</c:v>
                </c:pt>
                <c:pt idx="92">
                  <c:v>200.5</c:v>
                </c:pt>
                <c:pt idx="93">
                  <c:v>199.5</c:v>
                </c:pt>
                <c:pt idx="94">
                  <c:v>197.5</c:v>
                </c:pt>
                <c:pt idx="95">
                  <c:v>196.75</c:v>
                </c:pt>
                <c:pt idx="96">
                  <c:v>195</c:v>
                </c:pt>
                <c:pt idx="97">
                  <c:v>195</c:v>
                </c:pt>
                <c:pt idx="98">
                  <c:v>200.5</c:v>
                </c:pt>
                <c:pt idx="99">
                  <c:v>200.5</c:v>
                </c:pt>
                <c:pt idx="100">
                  <c:v>200.5</c:v>
                </c:pt>
                <c:pt idx="101">
                  <c:v>200.5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770056"/>
        <c:axId val="687770448"/>
      </c:scatterChart>
      <c:valAx>
        <c:axId val="687770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70448"/>
        <c:crosses val="autoZero"/>
        <c:crossBetween val="midCat"/>
      </c:valAx>
      <c:valAx>
        <c:axId val="687770448"/>
        <c:scaling>
          <c:orientation val="minMax"/>
          <c:max val="270"/>
          <c:min val="1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70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57.35</c:v>
                </c:pt>
                <c:pt idx="1">
                  <c:v>57.95</c:v>
                </c:pt>
                <c:pt idx="2">
                  <c:v>57.83</c:v>
                </c:pt>
                <c:pt idx="3">
                  <c:v>58.77</c:v>
                </c:pt>
                <c:pt idx="4">
                  <c:v>66.91</c:v>
                </c:pt>
                <c:pt idx="5">
                  <c:v>66.510000000000005</c:v>
                </c:pt>
                <c:pt idx="6">
                  <c:v>64.98</c:v>
                </c:pt>
                <c:pt idx="7">
                  <c:v>65.94</c:v>
                </c:pt>
                <c:pt idx="8">
                  <c:v>66.209999999999994</c:v>
                </c:pt>
                <c:pt idx="9">
                  <c:v>65.790000000000006</c:v>
                </c:pt>
                <c:pt idx="10">
                  <c:v>65.2</c:v>
                </c:pt>
                <c:pt idx="11">
                  <c:v>65.75</c:v>
                </c:pt>
                <c:pt idx="12">
                  <c:v>65.650000000000006</c:v>
                </c:pt>
                <c:pt idx="13">
                  <c:v>64.81</c:v>
                </c:pt>
                <c:pt idx="15">
                  <c:v>65.73</c:v>
                </c:pt>
                <c:pt idx="16">
                  <c:v>66.41</c:v>
                </c:pt>
                <c:pt idx="17">
                  <c:v>64.77</c:v>
                </c:pt>
                <c:pt idx="18">
                  <c:v>63.57</c:v>
                </c:pt>
                <c:pt idx="19">
                  <c:v>63.42</c:v>
                </c:pt>
                <c:pt idx="20">
                  <c:v>63.75</c:v>
                </c:pt>
                <c:pt idx="21">
                  <c:v>63.68</c:v>
                </c:pt>
                <c:pt idx="22">
                  <c:v>63.67</c:v>
                </c:pt>
                <c:pt idx="23">
                  <c:v>64.48</c:v>
                </c:pt>
                <c:pt idx="24">
                  <c:v>64.12</c:v>
                </c:pt>
                <c:pt idx="25">
                  <c:v>63.7</c:v>
                </c:pt>
                <c:pt idx="26">
                  <c:v>64.17</c:v>
                </c:pt>
                <c:pt idx="27">
                  <c:v>65</c:v>
                </c:pt>
                <c:pt idx="28">
                  <c:v>64.41</c:v>
                </c:pt>
                <c:pt idx="29">
                  <c:v>63.85</c:v>
                </c:pt>
                <c:pt idx="30">
                  <c:v>64.099999999999994</c:v>
                </c:pt>
                <c:pt idx="31">
                  <c:v>65.39</c:v>
                </c:pt>
                <c:pt idx="32">
                  <c:v>66.849999999999994</c:v>
                </c:pt>
                <c:pt idx="33">
                  <c:v>70.94</c:v>
                </c:pt>
                <c:pt idx="34">
                  <c:v>70.19</c:v>
                </c:pt>
                <c:pt idx="35">
                  <c:v>71.25</c:v>
                </c:pt>
                <c:pt idx="36">
                  <c:v>71.61</c:v>
                </c:pt>
                <c:pt idx="37">
                  <c:v>71.430000000000007</c:v>
                </c:pt>
                <c:pt idx="38">
                  <c:v>71.430000000000007</c:v>
                </c:pt>
                <c:pt idx="39">
                  <c:v>71.44</c:v>
                </c:pt>
                <c:pt idx="40">
                  <c:v>72.56</c:v>
                </c:pt>
                <c:pt idx="41">
                  <c:v>73.81</c:v>
                </c:pt>
                <c:pt idx="42">
                  <c:v>72.75</c:v>
                </c:pt>
                <c:pt idx="43">
                  <c:v>72.23</c:v>
                </c:pt>
                <c:pt idx="44">
                  <c:v>72.62</c:v>
                </c:pt>
                <c:pt idx="45">
                  <c:v>72.83</c:v>
                </c:pt>
                <c:pt idx="46">
                  <c:v>73.7</c:v>
                </c:pt>
                <c:pt idx="47">
                  <c:v>73.5</c:v>
                </c:pt>
                <c:pt idx="48">
                  <c:v>73.739999999999995</c:v>
                </c:pt>
                <c:pt idx="49">
                  <c:v>77.13</c:v>
                </c:pt>
                <c:pt idx="50">
                  <c:v>77.650000000000006</c:v>
                </c:pt>
                <c:pt idx="51">
                  <c:v>77.040000000000006</c:v>
                </c:pt>
                <c:pt idx="52">
                  <c:v>76.75</c:v>
                </c:pt>
                <c:pt idx="53">
                  <c:v>76.98</c:v>
                </c:pt>
                <c:pt idx="54">
                  <c:v>77.19</c:v>
                </c:pt>
                <c:pt idx="55">
                  <c:v>77.67</c:v>
                </c:pt>
                <c:pt idx="56">
                  <c:v>76.739999999999995</c:v>
                </c:pt>
                <c:pt idx="57">
                  <c:v>77.39</c:v>
                </c:pt>
                <c:pt idx="58">
                  <c:v>77.84</c:v>
                </c:pt>
                <c:pt idx="59">
                  <c:v>76.97</c:v>
                </c:pt>
                <c:pt idx="60">
                  <c:v>76.77</c:v>
                </c:pt>
                <c:pt idx="61">
                  <c:v>76.98</c:v>
                </c:pt>
                <c:pt idx="62">
                  <c:v>77.94</c:v>
                </c:pt>
                <c:pt idx="63">
                  <c:v>77.819999999999993</c:v>
                </c:pt>
                <c:pt idx="64">
                  <c:v>77.239999999999995</c:v>
                </c:pt>
                <c:pt idx="65">
                  <c:v>78.41</c:v>
                </c:pt>
                <c:pt idx="66">
                  <c:v>77.72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772016"/>
        <c:axId val="687772408"/>
      </c:lineChart>
      <c:dateAx>
        <c:axId val="687772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72408"/>
        <c:crosses val="autoZero"/>
        <c:auto val="1"/>
        <c:lblOffset val="100"/>
        <c:baseTimeUnit val="days"/>
      </c:dateAx>
      <c:valAx>
        <c:axId val="68777240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72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42790</c:v>
                </c:pt>
                <c:pt idx="7">
                  <c:v>42789</c:v>
                </c:pt>
                <c:pt idx="8">
                  <c:v>42788</c:v>
                </c:pt>
                <c:pt idx="9">
                  <c:v>42787</c:v>
                </c:pt>
                <c:pt idx="10">
                  <c:v>42783</c:v>
                </c:pt>
                <c:pt idx="11">
                  <c:v>42782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49.34</c:v>
                </c:pt>
                <c:pt idx="1">
                  <c:v>49.33</c:v>
                </c:pt>
                <c:pt idx="2">
                  <c:v>49.6</c:v>
                </c:pt>
                <c:pt idx="3">
                  <c:v>49.03</c:v>
                </c:pt>
                <c:pt idx="4">
                  <c:v>49.49</c:v>
                </c:pt>
                <c:pt idx="5">
                  <c:v>48.67</c:v>
                </c:pt>
                <c:pt idx="7">
                  <c:v>46.99</c:v>
                </c:pt>
                <c:pt idx="8">
                  <c:v>47.25</c:v>
                </c:pt>
                <c:pt idx="9">
                  <c:v>46.49</c:v>
                </c:pt>
                <c:pt idx="10">
                  <c:v>46.64</c:v>
                </c:pt>
                <c:pt idx="11">
                  <c:v>46.88</c:v>
                </c:pt>
                <c:pt idx="12">
                  <c:v>47.27</c:v>
                </c:pt>
                <c:pt idx="13">
                  <c:v>47.53</c:v>
                </c:pt>
                <c:pt idx="14">
                  <c:v>47.06</c:v>
                </c:pt>
                <c:pt idx="15">
                  <c:v>46.99</c:v>
                </c:pt>
                <c:pt idx="16">
                  <c:v>46.33</c:v>
                </c:pt>
                <c:pt idx="17">
                  <c:v>46.17</c:v>
                </c:pt>
                <c:pt idx="18">
                  <c:v>45.52</c:v>
                </c:pt>
                <c:pt idx="19">
                  <c:v>44.23</c:v>
                </c:pt>
                <c:pt idx="20">
                  <c:v>46.89</c:v>
                </c:pt>
                <c:pt idx="21">
                  <c:v>47.81</c:v>
                </c:pt>
                <c:pt idx="22">
                  <c:v>47.45</c:v>
                </c:pt>
                <c:pt idx="23">
                  <c:v>47.33</c:v>
                </c:pt>
                <c:pt idx="24">
                  <c:v>46.28</c:v>
                </c:pt>
                <c:pt idx="25">
                  <c:v>46.13</c:v>
                </c:pt>
                <c:pt idx="26">
                  <c:v>46.35</c:v>
                </c:pt>
                <c:pt idx="27">
                  <c:v>46.92</c:v>
                </c:pt>
                <c:pt idx="28">
                  <c:v>47.18</c:v>
                </c:pt>
                <c:pt idx="29">
                  <c:v>46.42</c:v>
                </c:pt>
                <c:pt idx="30">
                  <c:v>46.08</c:v>
                </c:pt>
                <c:pt idx="31">
                  <c:v>45.97</c:v>
                </c:pt>
                <c:pt idx="32">
                  <c:v>47.55</c:v>
                </c:pt>
                <c:pt idx="33">
                  <c:v>47.71</c:v>
                </c:pt>
                <c:pt idx="34">
                  <c:v>47</c:v>
                </c:pt>
                <c:pt idx="35">
                  <c:v>47.12</c:v>
                </c:pt>
                <c:pt idx="36">
                  <c:v>46.88</c:v>
                </c:pt>
                <c:pt idx="37">
                  <c:v>46.97</c:v>
                </c:pt>
                <c:pt idx="38">
                  <c:v>46.94</c:v>
                </c:pt>
                <c:pt idx="39">
                  <c:v>46.86</c:v>
                </c:pt>
                <c:pt idx="40">
                  <c:v>46.68</c:v>
                </c:pt>
                <c:pt idx="41">
                  <c:v>46.51</c:v>
                </c:pt>
                <c:pt idx="42">
                  <c:v>44.92</c:v>
                </c:pt>
                <c:pt idx="43">
                  <c:v>44.65</c:v>
                </c:pt>
                <c:pt idx="44">
                  <c:v>45.3</c:v>
                </c:pt>
                <c:pt idx="45">
                  <c:v>45.37</c:v>
                </c:pt>
                <c:pt idx="46">
                  <c:v>45.49</c:v>
                </c:pt>
                <c:pt idx="47">
                  <c:v>45.39</c:v>
                </c:pt>
                <c:pt idx="48">
                  <c:v>45.54</c:v>
                </c:pt>
                <c:pt idx="49">
                  <c:v>46.17</c:v>
                </c:pt>
                <c:pt idx="50">
                  <c:v>45.61</c:v>
                </c:pt>
                <c:pt idx="51">
                  <c:v>45.7</c:v>
                </c:pt>
                <c:pt idx="52">
                  <c:v>46.18</c:v>
                </c:pt>
                <c:pt idx="53">
                  <c:v>46.68</c:v>
                </c:pt>
                <c:pt idx="54">
                  <c:v>46.64</c:v>
                </c:pt>
                <c:pt idx="55">
                  <c:v>47.3</c:v>
                </c:pt>
                <c:pt idx="56">
                  <c:v>46.48</c:v>
                </c:pt>
                <c:pt idx="57">
                  <c:v>45.53</c:v>
                </c:pt>
                <c:pt idx="58">
                  <c:v>45.19</c:v>
                </c:pt>
                <c:pt idx="59">
                  <c:v>45.65</c:v>
                </c:pt>
                <c:pt idx="60">
                  <c:v>45.68</c:v>
                </c:pt>
                <c:pt idx="61">
                  <c:v>45.7</c:v>
                </c:pt>
                <c:pt idx="62">
                  <c:v>45.68</c:v>
                </c:pt>
                <c:pt idx="63">
                  <c:v>45.44</c:v>
                </c:pt>
                <c:pt idx="64">
                  <c:v>47.01</c:v>
                </c:pt>
                <c:pt idx="65">
                  <c:v>47.47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774368"/>
        <c:axId val="687774760"/>
      </c:lineChart>
      <c:dateAx>
        <c:axId val="6877743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74760"/>
        <c:crosses val="autoZero"/>
        <c:auto val="1"/>
        <c:lblOffset val="100"/>
        <c:baseTimeUnit val="days"/>
      </c:dateAx>
      <c:valAx>
        <c:axId val="68777476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36.409999999999997</c:v>
                </c:pt>
                <c:pt idx="1">
                  <c:v>37.03</c:v>
                </c:pt>
                <c:pt idx="2">
                  <c:v>36.9</c:v>
                </c:pt>
                <c:pt idx="3">
                  <c:v>36.5</c:v>
                </c:pt>
                <c:pt idx="4">
                  <c:v>37.6</c:v>
                </c:pt>
                <c:pt idx="5">
                  <c:v>37.299999999999997</c:v>
                </c:pt>
                <c:pt idx="6">
                  <c:v>37.28</c:v>
                </c:pt>
                <c:pt idx="7">
                  <c:v>37.92</c:v>
                </c:pt>
                <c:pt idx="8">
                  <c:v>38.31</c:v>
                </c:pt>
                <c:pt idx="9">
                  <c:v>38.299999999999997</c:v>
                </c:pt>
                <c:pt idx="10">
                  <c:v>38.21</c:v>
                </c:pt>
                <c:pt idx="11">
                  <c:v>38.049999999999997</c:v>
                </c:pt>
                <c:pt idx="12">
                  <c:v>38.1</c:v>
                </c:pt>
                <c:pt idx="13">
                  <c:v>37.6</c:v>
                </c:pt>
                <c:pt idx="14">
                  <c:v>38.380000000000003</c:v>
                </c:pt>
                <c:pt idx="15">
                  <c:v>38.270000000000003</c:v>
                </c:pt>
                <c:pt idx="16">
                  <c:v>37.869999999999997</c:v>
                </c:pt>
                <c:pt idx="17">
                  <c:v>36.82</c:v>
                </c:pt>
                <c:pt idx="18">
                  <c:v>41.28</c:v>
                </c:pt>
                <c:pt idx="19">
                  <c:v>41.02</c:v>
                </c:pt>
                <c:pt idx="20">
                  <c:v>40.89</c:v>
                </c:pt>
                <c:pt idx="21">
                  <c:v>41.34</c:v>
                </c:pt>
                <c:pt idx="22">
                  <c:v>42.81</c:v>
                </c:pt>
                <c:pt idx="23">
                  <c:v>41.79</c:v>
                </c:pt>
                <c:pt idx="24">
                  <c:v>41.53</c:v>
                </c:pt>
                <c:pt idx="25">
                  <c:v>42.06</c:v>
                </c:pt>
                <c:pt idx="26">
                  <c:v>42.8</c:v>
                </c:pt>
                <c:pt idx="27">
                  <c:v>43.4</c:v>
                </c:pt>
                <c:pt idx="28">
                  <c:v>42.56</c:v>
                </c:pt>
                <c:pt idx="29">
                  <c:v>42.46</c:v>
                </c:pt>
                <c:pt idx="30">
                  <c:v>42.03</c:v>
                </c:pt>
                <c:pt idx="31">
                  <c:v>43.23</c:v>
                </c:pt>
                <c:pt idx="32">
                  <c:v>43.56</c:v>
                </c:pt>
                <c:pt idx="33">
                  <c:v>42.39</c:v>
                </c:pt>
                <c:pt idx="34">
                  <c:v>42.65</c:v>
                </c:pt>
                <c:pt idx="35">
                  <c:v>42.87</c:v>
                </c:pt>
                <c:pt idx="36">
                  <c:v>43.38</c:v>
                </c:pt>
                <c:pt idx="37">
                  <c:v>42.04</c:v>
                </c:pt>
                <c:pt idx="38">
                  <c:v>42.47</c:v>
                </c:pt>
                <c:pt idx="39">
                  <c:v>42.1</c:v>
                </c:pt>
                <c:pt idx="40">
                  <c:v>43.5</c:v>
                </c:pt>
                <c:pt idx="41">
                  <c:v>43.08</c:v>
                </c:pt>
                <c:pt idx="42">
                  <c:v>42.98</c:v>
                </c:pt>
                <c:pt idx="43">
                  <c:v>42.84</c:v>
                </c:pt>
                <c:pt idx="44">
                  <c:v>43.14</c:v>
                </c:pt>
                <c:pt idx="45">
                  <c:v>42.92</c:v>
                </c:pt>
                <c:pt idx="46">
                  <c:v>42.84</c:v>
                </c:pt>
                <c:pt idx="47">
                  <c:v>42.75</c:v>
                </c:pt>
                <c:pt idx="48">
                  <c:v>44.21</c:v>
                </c:pt>
                <c:pt idx="49">
                  <c:v>44.26</c:v>
                </c:pt>
                <c:pt idx="50">
                  <c:v>44.85</c:v>
                </c:pt>
                <c:pt idx="51">
                  <c:v>45.21</c:v>
                </c:pt>
                <c:pt idx="52">
                  <c:v>46.01</c:v>
                </c:pt>
                <c:pt idx="53">
                  <c:v>47.3</c:v>
                </c:pt>
                <c:pt idx="54">
                  <c:v>47.88</c:v>
                </c:pt>
                <c:pt idx="55">
                  <c:v>47.87</c:v>
                </c:pt>
                <c:pt idx="56">
                  <c:v>49.36</c:v>
                </c:pt>
                <c:pt idx="57">
                  <c:v>50.61</c:v>
                </c:pt>
                <c:pt idx="58">
                  <c:v>48.91</c:v>
                </c:pt>
                <c:pt idx="59">
                  <c:v>48.37</c:v>
                </c:pt>
                <c:pt idx="60">
                  <c:v>48.47</c:v>
                </c:pt>
                <c:pt idx="61">
                  <c:v>46.2</c:v>
                </c:pt>
                <c:pt idx="62">
                  <c:v>46.23</c:v>
                </c:pt>
                <c:pt idx="63">
                  <c:v>46.49</c:v>
                </c:pt>
                <c:pt idx="64">
                  <c:v>47.71</c:v>
                </c:pt>
                <c:pt idx="65">
                  <c:v>48.03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760376"/>
        <c:axId val="725760768"/>
      </c:lineChart>
      <c:dateAx>
        <c:axId val="7257603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60768"/>
        <c:crosses val="autoZero"/>
        <c:auto val="1"/>
        <c:lblOffset val="100"/>
        <c:baseTimeUnit val="days"/>
      </c:dateAx>
      <c:valAx>
        <c:axId val="72576076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60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ALL!$X$2:$X$70</c:f>
              <c:strCache>
                <c:ptCount val="69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24-Feb-17</c:v>
                </c:pt>
                <c:pt idx="7">
                  <c:v>23-Feb-17</c:v>
                </c:pt>
                <c:pt idx="8">
                  <c:v>22-Feb-17</c:v>
                </c:pt>
                <c:pt idx="9">
                  <c:v>21-Feb-17</c:v>
                </c:pt>
                <c:pt idx="10">
                  <c:v>17-Feb-17</c:v>
                </c:pt>
                <c:pt idx="11">
                  <c:v>16-Feb-17</c:v>
                </c:pt>
                <c:pt idx="12">
                  <c:v>15-Feb-17</c:v>
                </c:pt>
                <c:pt idx="13">
                  <c:v>14-Feb-17</c:v>
                </c:pt>
                <c:pt idx="14">
                  <c:v>13-Feb-17</c:v>
                </c:pt>
                <c:pt idx="15">
                  <c:v>10-Feb-17</c:v>
                </c:pt>
                <c:pt idx="16">
                  <c:v>9-Feb-17</c:v>
                </c:pt>
                <c:pt idx="17">
                  <c:v>8-Feb-17</c:v>
                </c:pt>
                <c:pt idx="18">
                  <c:v>7-Feb-17</c:v>
                </c:pt>
                <c:pt idx="19">
                  <c:v>6-Feb-17</c:v>
                </c:pt>
                <c:pt idx="20">
                  <c:v>3-Feb-17</c:v>
                </c:pt>
                <c:pt idx="21">
                  <c:v>2-Feb-17</c:v>
                </c:pt>
                <c:pt idx="22">
                  <c:v>1-Feb-17</c:v>
                </c:pt>
                <c:pt idx="23">
                  <c:v>31-Jan-17</c:v>
                </c:pt>
                <c:pt idx="24">
                  <c:v>30-Jan-17</c:v>
                </c:pt>
                <c:pt idx="25">
                  <c:v>27-Jan-17</c:v>
                </c:pt>
                <c:pt idx="26">
                  <c:v>26-Jan-17</c:v>
                </c:pt>
                <c:pt idx="27">
                  <c:v>25-Jan-17</c:v>
                </c:pt>
                <c:pt idx="28">
                  <c:v>24-Jan-17</c:v>
                </c:pt>
                <c:pt idx="29">
                  <c:v>23-Jan-17</c:v>
                </c:pt>
                <c:pt idx="30">
                  <c:v>20-Jan-17</c:v>
                </c:pt>
                <c:pt idx="31">
                  <c:v>19-Jan-17</c:v>
                </c:pt>
                <c:pt idx="32">
                  <c:v>18-Jan-17</c:v>
                </c:pt>
                <c:pt idx="33">
                  <c:v>17-Jan-17</c:v>
                </c:pt>
                <c:pt idx="34">
                  <c:v>13-Jan-17</c:v>
                </c:pt>
                <c:pt idx="35">
                  <c:v>12-Jan-17</c:v>
                </c:pt>
                <c:pt idx="36">
                  <c:v>11-Jan-17</c:v>
                </c:pt>
                <c:pt idx="37">
                  <c:v>10-Jan-17</c:v>
                </c:pt>
                <c:pt idx="38">
                  <c:v>9-Jan-17</c:v>
                </c:pt>
                <c:pt idx="39">
                  <c:v>6-Jan-17</c:v>
                </c:pt>
                <c:pt idx="40">
                  <c:v>5-Jan-17</c:v>
                </c:pt>
                <c:pt idx="41">
                  <c:v>4-Jan-17</c:v>
                </c:pt>
                <c:pt idx="42">
                  <c:v>3-Jan-17</c:v>
                </c:pt>
                <c:pt idx="43">
                  <c:v>30-Dec-16</c:v>
                </c:pt>
                <c:pt idx="44">
                  <c:v>29-Dec-16</c:v>
                </c:pt>
                <c:pt idx="45">
                  <c:v>28-Dec-16</c:v>
                </c:pt>
                <c:pt idx="46">
                  <c:v>27-Dec-16</c:v>
                </c:pt>
                <c:pt idx="47">
                  <c:v>23-Dec-16</c:v>
                </c:pt>
                <c:pt idx="48">
                  <c:v>22-Dec-16</c:v>
                </c:pt>
                <c:pt idx="49">
                  <c:v>21-Dec-16</c:v>
                </c:pt>
                <c:pt idx="50">
                  <c:v>20-Dec-16</c:v>
                </c:pt>
                <c:pt idx="51">
                  <c:v>19-Dec-16</c:v>
                </c:pt>
                <c:pt idx="52">
                  <c:v>16-Dec-16</c:v>
                </c:pt>
                <c:pt idx="53">
                  <c:v>15-Dec-16</c:v>
                </c:pt>
                <c:pt idx="54">
                  <c:v>14-Dec-16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28-Nov-16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ALL!$AB$2:$AB$70</c:f>
              <c:numCache>
                <c:formatCode>General</c:formatCode>
                <c:ptCount val="69"/>
                <c:pt idx="0">
                  <c:v>81.86</c:v>
                </c:pt>
                <c:pt idx="1">
                  <c:v>81.75</c:v>
                </c:pt>
                <c:pt idx="2">
                  <c:v>82.69</c:v>
                </c:pt>
                <c:pt idx="3">
                  <c:v>82.16</c:v>
                </c:pt>
                <c:pt idx="4">
                  <c:v>81.34</c:v>
                </c:pt>
                <c:pt idx="5">
                  <c:v>80.91</c:v>
                </c:pt>
                <c:pt idx="7">
                  <c:v>80.55</c:v>
                </c:pt>
                <c:pt idx="8">
                  <c:v>80.58</c:v>
                </c:pt>
                <c:pt idx="9">
                  <c:v>80.62</c:v>
                </c:pt>
                <c:pt idx="10">
                  <c:v>80.44</c:v>
                </c:pt>
                <c:pt idx="11">
                  <c:v>80.8</c:v>
                </c:pt>
                <c:pt idx="12">
                  <c:v>80.709999999999994</c:v>
                </c:pt>
                <c:pt idx="13">
                  <c:v>79.8</c:v>
                </c:pt>
                <c:pt idx="14">
                  <c:v>79.61</c:v>
                </c:pt>
                <c:pt idx="15">
                  <c:v>78.88</c:v>
                </c:pt>
                <c:pt idx="16">
                  <c:v>78.349999999999994</c:v>
                </c:pt>
                <c:pt idx="17">
                  <c:v>77.989999999999995</c:v>
                </c:pt>
                <c:pt idx="18">
                  <c:v>78.12</c:v>
                </c:pt>
                <c:pt idx="19">
                  <c:v>78.08</c:v>
                </c:pt>
                <c:pt idx="20">
                  <c:v>77.48</c:v>
                </c:pt>
                <c:pt idx="21">
                  <c:v>77.400000000000006</c:v>
                </c:pt>
                <c:pt idx="22">
                  <c:v>75.239999999999995</c:v>
                </c:pt>
                <c:pt idx="23">
                  <c:v>75.209999999999994</c:v>
                </c:pt>
                <c:pt idx="24">
                  <c:v>75.61</c:v>
                </c:pt>
                <c:pt idx="25">
                  <c:v>75.59</c:v>
                </c:pt>
                <c:pt idx="26">
                  <c:v>75.81</c:v>
                </c:pt>
                <c:pt idx="27">
                  <c:v>75.39</c:v>
                </c:pt>
                <c:pt idx="28">
                  <c:v>74.47</c:v>
                </c:pt>
                <c:pt idx="29">
                  <c:v>74.150000000000006</c:v>
                </c:pt>
                <c:pt idx="30">
                  <c:v>74.540000000000006</c:v>
                </c:pt>
                <c:pt idx="31">
                  <c:v>74.22</c:v>
                </c:pt>
                <c:pt idx="32">
                  <c:v>74.52</c:v>
                </c:pt>
                <c:pt idx="33">
                  <c:v>73.849999999999994</c:v>
                </c:pt>
                <c:pt idx="34">
                  <c:v>73.89</c:v>
                </c:pt>
                <c:pt idx="35">
                  <c:v>73.680000000000007</c:v>
                </c:pt>
                <c:pt idx="36">
                  <c:v>73.94</c:v>
                </c:pt>
                <c:pt idx="37">
                  <c:v>73.75</c:v>
                </c:pt>
                <c:pt idx="38">
                  <c:v>73.09</c:v>
                </c:pt>
                <c:pt idx="39">
                  <c:v>74.150000000000006</c:v>
                </c:pt>
                <c:pt idx="40">
                  <c:v>74.03</c:v>
                </c:pt>
                <c:pt idx="41">
                  <c:v>74.37</c:v>
                </c:pt>
                <c:pt idx="42">
                  <c:v>74.17</c:v>
                </c:pt>
                <c:pt idx="43">
                  <c:v>74.12</c:v>
                </c:pt>
                <c:pt idx="44">
                  <c:v>74.28</c:v>
                </c:pt>
                <c:pt idx="45">
                  <c:v>74.349999999999994</c:v>
                </c:pt>
                <c:pt idx="46">
                  <c:v>74.510000000000005</c:v>
                </c:pt>
                <c:pt idx="47">
                  <c:v>74.58</c:v>
                </c:pt>
                <c:pt idx="48">
                  <c:v>74.48</c:v>
                </c:pt>
                <c:pt idx="49">
                  <c:v>74.44</c:v>
                </c:pt>
                <c:pt idx="50">
                  <c:v>74.48</c:v>
                </c:pt>
                <c:pt idx="51">
                  <c:v>74.37</c:v>
                </c:pt>
                <c:pt idx="52">
                  <c:v>74.11</c:v>
                </c:pt>
                <c:pt idx="53">
                  <c:v>73.540000000000006</c:v>
                </c:pt>
                <c:pt idx="54">
                  <c:v>72.61</c:v>
                </c:pt>
                <c:pt idx="55">
                  <c:v>72.930000000000007</c:v>
                </c:pt>
                <c:pt idx="56">
                  <c:v>72.819999999999993</c:v>
                </c:pt>
                <c:pt idx="57">
                  <c:v>72.47</c:v>
                </c:pt>
                <c:pt idx="58">
                  <c:v>71.67</c:v>
                </c:pt>
                <c:pt idx="59">
                  <c:v>71.650000000000006</c:v>
                </c:pt>
                <c:pt idx="60">
                  <c:v>70.95</c:v>
                </c:pt>
                <c:pt idx="61">
                  <c:v>70.36</c:v>
                </c:pt>
                <c:pt idx="62">
                  <c:v>70.61</c:v>
                </c:pt>
                <c:pt idx="63">
                  <c:v>70.349999999999994</c:v>
                </c:pt>
                <c:pt idx="64">
                  <c:v>69.92</c:v>
                </c:pt>
                <c:pt idx="65">
                  <c:v>69.63</c:v>
                </c:pt>
                <c:pt idx="66">
                  <c:v>72.040000000000006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762728"/>
        <c:axId val="725763120"/>
      </c:lineChart>
      <c:catAx>
        <c:axId val="725762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63120"/>
        <c:crosses val="autoZero"/>
        <c:auto val="1"/>
        <c:lblAlgn val="ctr"/>
        <c:lblOffset val="100"/>
        <c:noMultiLvlLbl val="0"/>
      </c:catAx>
      <c:valAx>
        <c:axId val="725763120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62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3/3/2017</c:v>
                </c:pt>
                <c:pt idx="1">
                  <c:v>3/2/2017</c:v>
                </c:pt>
                <c:pt idx="2">
                  <c:v>3/1/2017</c:v>
                </c:pt>
                <c:pt idx="3">
                  <c:v>2/28/2017</c:v>
                </c:pt>
                <c:pt idx="4">
                  <c:v>2/27/2017</c:v>
                </c:pt>
                <c:pt idx="5">
                  <c:v>2/24/2017</c:v>
                </c:pt>
                <c:pt idx="6">
                  <c:v>2/23/2017</c:v>
                </c:pt>
                <c:pt idx="7">
                  <c:v>2/22/2017</c:v>
                </c:pt>
                <c:pt idx="8">
                  <c:v>2/21/2017</c:v>
                </c:pt>
                <c:pt idx="9">
                  <c:v>2/17/2017</c:v>
                </c:pt>
                <c:pt idx="10">
                  <c:v>2/16/2017</c:v>
                </c:pt>
                <c:pt idx="11">
                  <c:v>2/15/2017</c:v>
                </c:pt>
                <c:pt idx="12">
                  <c:v>2/14/2017</c:v>
                </c:pt>
                <c:pt idx="13">
                  <c:v>2/13/2017</c:v>
                </c:pt>
                <c:pt idx="14">
                  <c:v>2/10/2017</c:v>
                </c:pt>
                <c:pt idx="15">
                  <c:v>2/9/2017</c:v>
                </c:pt>
                <c:pt idx="16">
                  <c:v>2/8/2017</c:v>
                </c:pt>
                <c:pt idx="17">
                  <c:v>2/7/2017</c:v>
                </c:pt>
                <c:pt idx="18">
                  <c:v>2/6/2017</c:v>
                </c:pt>
                <c:pt idx="19">
                  <c:v>2/3/2017</c:v>
                </c:pt>
                <c:pt idx="20">
                  <c:v>2/2/2017</c:v>
                </c:pt>
                <c:pt idx="21">
                  <c:v>2/1/2017</c:v>
                </c:pt>
                <c:pt idx="22">
                  <c:v>2/1/2017</c:v>
                </c:pt>
                <c:pt idx="23">
                  <c:v>1/31/2017</c:v>
                </c:pt>
                <c:pt idx="24">
                  <c:v>1/30/2017</c:v>
                </c:pt>
                <c:pt idx="25">
                  <c:v>1/27/2017</c:v>
                </c:pt>
                <c:pt idx="26">
                  <c:v>1/26/2017</c:v>
                </c:pt>
                <c:pt idx="27">
                  <c:v>1/25/2017</c:v>
                </c:pt>
                <c:pt idx="28">
                  <c:v>1/24/2017</c:v>
                </c:pt>
                <c:pt idx="29">
                  <c:v>1/23/2017</c:v>
                </c:pt>
                <c:pt idx="30">
                  <c:v>1/20/2017</c:v>
                </c:pt>
                <c:pt idx="31">
                  <c:v>1/19/2017</c:v>
                </c:pt>
                <c:pt idx="32">
                  <c:v>1/18/2017</c:v>
                </c:pt>
                <c:pt idx="33">
                  <c:v>1/17/2017</c:v>
                </c:pt>
                <c:pt idx="34">
                  <c:v>1/13/2017</c:v>
                </c:pt>
                <c:pt idx="35">
                  <c:v>1/12/2017</c:v>
                </c:pt>
                <c:pt idx="36">
                  <c:v>1/11/2017</c:v>
                </c:pt>
                <c:pt idx="37">
                  <c:v>1/10/2017</c:v>
                </c:pt>
                <c:pt idx="38">
                  <c:v>1/9/2017</c:v>
                </c:pt>
                <c:pt idx="39">
                  <c:v>1/6/2017</c:v>
                </c:pt>
                <c:pt idx="40">
                  <c:v>1/5/2017</c:v>
                </c:pt>
                <c:pt idx="41">
                  <c:v>1/4/2017</c:v>
                </c:pt>
                <c:pt idx="42">
                  <c:v>1/3/2017</c:v>
                </c:pt>
                <c:pt idx="43">
                  <c:v>12/30/2016</c:v>
                </c:pt>
                <c:pt idx="44">
                  <c:v>12/29/2016</c:v>
                </c:pt>
                <c:pt idx="45">
                  <c:v>12/28/2016</c:v>
                </c:pt>
                <c:pt idx="46">
                  <c:v>12/27/2016</c:v>
                </c:pt>
                <c:pt idx="47">
                  <c:v>12/23/2016</c:v>
                </c:pt>
                <c:pt idx="48">
                  <c:v>12/22/2016</c:v>
                </c:pt>
                <c:pt idx="49">
                  <c:v>12/21/2016</c:v>
                </c:pt>
                <c:pt idx="50">
                  <c:v>12/20/2016</c:v>
                </c:pt>
                <c:pt idx="51">
                  <c:v>12/19/2016</c:v>
                </c:pt>
                <c:pt idx="52">
                  <c:v>12/16/2016</c:v>
                </c:pt>
                <c:pt idx="53">
                  <c:v>12/15/2016</c:v>
                </c:pt>
                <c:pt idx="54">
                  <c:v>12/14/2016</c:v>
                </c:pt>
                <c:pt idx="55">
                  <c:v>12/13/2016</c:v>
                </c:pt>
                <c:pt idx="56">
                  <c:v>12/12/2016</c:v>
                </c:pt>
                <c:pt idx="57">
                  <c:v>12/9/2016</c:v>
                </c:pt>
                <c:pt idx="58">
                  <c:v>12/8/2016</c:v>
                </c:pt>
                <c:pt idx="59">
                  <c:v>12/7/2016</c:v>
                </c:pt>
                <c:pt idx="60">
                  <c:v>12/6/2016</c:v>
                </c:pt>
                <c:pt idx="61">
                  <c:v>12/5/2016</c:v>
                </c:pt>
                <c:pt idx="62">
                  <c:v>12/2/2016</c:v>
                </c:pt>
                <c:pt idx="63">
                  <c:v>12/1/2016</c:v>
                </c:pt>
                <c:pt idx="64">
                  <c:v>11/30/2016</c:v>
                </c:pt>
                <c:pt idx="65">
                  <c:v>11/29/2016</c:v>
                </c:pt>
                <c:pt idx="66">
                  <c:v>11/28/2016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122.4</c:v>
                </c:pt>
                <c:pt idx="1">
                  <c:v>121.77</c:v>
                </c:pt>
                <c:pt idx="2">
                  <c:v>123.35</c:v>
                </c:pt>
                <c:pt idx="3">
                  <c:v>121.03</c:v>
                </c:pt>
                <c:pt idx="4">
                  <c:v>121.12</c:v>
                </c:pt>
                <c:pt idx="5">
                  <c:v>120.08</c:v>
                </c:pt>
                <c:pt idx="6">
                  <c:v>120.03</c:v>
                </c:pt>
                <c:pt idx="7">
                  <c:v>122.32</c:v>
                </c:pt>
                <c:pt idx="8">
                  <c:v>123.53</c:v>
                </c:pt>
                <c:pt idx="9">
                  <c:v>122.78</c:v>
                </c:pt>
                <c:pt idx="10">
                  <c:v>122.93</c:v>
                </c:pt>
                <c:pt idx="11">
                  <c:v>122.71</c:v>
                </c:pt>
                <c:pt idx="12">
                  <c:v>122.49</c:v>
                </c:pt>
                <c:pt idx="13">
                  <c:v>122.21</c:v>
                </c:pt>
                <c:pt idx="14">
                  <c:v>121.12</c:v>
                </c:pt>
                <c:pt idx="15">
                  <c:v>120.65</c:v>
                </c:pt>
                <c:pt idx="16">
                  <c:v>120.94</c:v>
                </c:pt>
                <c:pt idx="17">
                  <c:v>120.88</c:v>
                </c:pt>
                <c:pt idx="18">
                  <c:v>119.87</c:v>
                </c:pt>
                <c:pt idx="19">
                  <c:v>120.46</c:v>
                </c:pt>
                <c:pt idx="20">
                  <c:v>119.47</c:v>
                </c:pt>
                <c:pt idx="21">
                  <c:v>119.93</c:v>
                </c:pt>
                <c:pt idx="23">
                  <c:v>117.46</c:v>
                </c:pt>
                <c:pt idx="24">
                  <c:v>119.63</c:v>
                </c:pt>
                <c:pt idx="25">
                  <c:v>120.35</c:v>
                </c:pt>
                <c:pt idx="26">
                  <c:v>119.51</c:v>
                </c:pt>
                <c:pt idx="27">
                  <c:v>120.53</c:v>
                </c:pt>
                <c:pt idx="28">
                  <c:v>116.62</c:v>
                </c:pt>
                <c:pt idx="29">
                  <c:v>113.55</c:v>
                </c:pt>
                <c:pt idx="30">
                  <c:v>113.59</c:v>
                </c:pt>
                <c:pt idx="31">
                  <c:v>114.42</c:v>
                </c:pt>
                <c:pt idx="32">
                  <c:v>109.97</c:v>
                </c:pt>
                <c:pt idx="33">
                  <c:v>108.9</c:v>
                </c:pt>
                <c:pt idx="34">
                  <c:v>111.59</c:v>
                </c:pt>
                <c:pt idx="35">
                  <c:v>111.01</c:v>
                </c:pt>
                <c:pt idx="36">
                  <c:v>110.55</c:v>
                </c:pt>
                <c:pt idx="37">
                  <c:v>109.26</c:v>
                </c:pt>
                <c:pt idx="38">
                  <c:v>109.18</c:v>
                </c:pt>
                <c:pt idx="39">
                  <c:v>111.66</c:v>
                </c:pt>
                <c:pt idx="40">
                  <c:v>110.29</c:v>
                </c:pt>
                <c:pt idx="41">
                  <c:v>110.64</c:v>
                </c:pt>
                <c:pt idx="42">
                  <c:v>106.99</c:v>
                </c:pt>
                <c:pt idx="43">
                  <c:v>108.07</c:v>
                </c:pt>
                <c:pt idx="44">
                  <c:v>108.82</c:v>
                </c:pt>
                <c:pt idx="45">
                  <c:v>108.72</c:v>
                </c:pt>
                <c:pt idx="46">
                  <c:v>109.45</c:v>
                </c:pt>
                <c:pt idx="47">
                  <c:v>109.28</c:v>
                </c:pt>
                <c:pt idx="48">
                  <c:v>108.78</c:v>
                </c:pt>
                <c:pt idx="49">
                  <c:v>108.05</c:v>
                </c:pt>
                <c:pt idx="50">
                  <c:v>108.17</c:v>
                </c:pt>
                <c:pt idx="51">
                  <c:v>106.93</c:v>
                </c:pt>
                <c:pt idx="52">
                  <c:v>106.67</c:v>
                </c:pt>
                <c:pt idx="53">
                  <c:v>108.11</c:v>
                </c:pt>
                <c:pt idx="54">
                  <c:v>107.58</c:v>
                </c:pt>
                <c:pt idx="55">
                  <c:v>109.83</c:v>
                </c:pt>
                <c:pt idx="56">
                  <c:v>110.69</c:v>
                </c:pt>
                <c:pt idx="57">
                  <c:v>110.6</c:v>
                </c:pt>
                <c:pt idx="58">
                  <c:v>110.02</c:v>
                </c:pt>
                <c:pt idx="59">
                  <c:v>109.75</c:v>
                </c:pt>
                <c:pt idx="60">
                  <c:v>106.21</c:v>
                </c:pt>
                <c:pt idx="61">
                  <c:v>105.96</c:v>
                </c:pt>
                <c:pt idx="62">
                  <c:v>105.6</c:v>
                </c:pt>
                <c:pt idx="63">
                  <c:v>106.83</c:v>
                </c:pt>
                <c:pt idx="64">
                  <c:v>106.46</c:v>
                </c:pt>
                <c:pt idx="65">
                  <c:v>104.37</c:v>
                </c:pt>
                <c:pt idx="66">
                  <c:v>103.99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765080"/>
        <c:axId val="725765472"/>
      </c:lineChart>
      <c:catAx>
        <c:axId val="725765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65472"/>
        <c:crosses val="autoZero"/>
        <c:auto val="1"/>
        <c:lblAlgn val="ctr"/>
        <c:lblOffset val="100"/>
        <c:noMultiLvlLbl val="0"/>
      </c:catAx>
      <c:valAx>
        <c:axId val="72576547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65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19-Dec-16</c:v>
                </c:pt>
                <c:pt idx="51">
                  <c:v>16-Dec-16</c:v>
                </c:pt>
                <c:pt idx="52">
                  <c:v>15-Dec-16</c:v>
                </c:pt>
                <c:pt idx="53">
                  <c:v>14-Dec-16</c:v>
                </c:pt>
                <c:pt idx="54">
                  <c:v>14-Dec-16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218.32</c:v>
                </c:pt>
                <c:pt idx="1">
                  <c:v>217.29</c:v>
                </c:pt>
                <c:pt idx="2">
                  <c:v>215.14</c:v>
                </c:pt>
                <c:pt idx="3">
                  <c:v>210.93</c:v>
                </c:pt>
                <c:pt idx="4">
                  <c:v>213.28</c:v>
                </c:pt>
                <c:pt idx="5">
                  <c:v>210.37</c:v>
                </c:pt>
                <c:pt idx="6">
                  <c:v>210.58</c:v>
                </c:pt>
                <c:pt idx="7">
                  <c:v>214.16</c:v>
                </c:pt>
                <c:pt idx="8">
                  <c:v>212.75</c:v>
                </c:pt>
                <c:pt idx="9">
                  <c:v>210.41</c:v>
                </c:pt>
                <c:pt idx="10">
                  <c:v>208.18</c:v>
                </c:pt>
                <c:pt idx="11">
                  <c:v>205.99</c:v>
                </c:pt>
                <c:pt idx="12">
                  <c:v>205.33</c:v>
                </c:pt>
                <c:pt idx="13">
                  <c:v>206.71</c:v>
                </c:pt>
                <c:pt idx="14">
                  <c:v>205.52</c:v>
                </c:pt>
                <c:pt idx="15">
                  <c:v>205.34</c:v>
                </c:pt>
                <c:pt idx="16">
                  <c:v>206.89</c:v>
                </c:pt>
                <c:pt idx="17">
                  <c:v>205.91</c:v>
                </c:pt>
                <c:pt idx="18">
                  <c:v>206.56</c:v>
                </c:pt>
                <c:pt idx="19">
                  <c:v>206.16</c:v>
                </c:pt>
                <c:pt idx="20">
                  <c:v>204.05</c:v>
                </c:pt>
                <c:pt idx="21">
                  <c:v>203.69</c:v>
                </c:pt>
                <c:pt idx="22">
                  <c:v>199.5</c:v>
                </c:pt>
                <c:pt idx="23">
                  <c:v>203.22</c:v>
                </c:pt>
                <c:pt idx="24">
                  <c:v>205.71</c:v>
                </c:pt>
                <c:pt idx="25">
                  <c:v>204.17</c:v>
                </c:pt>
                <c:pt idx="26">
                  <c:v>202.48</c:v>
                </c:pt>
                <c:pt idx="27">
                  <c:v>197.75</c:v>
                </c:pt>
                <c:pt idx="28">
                  <c:v>191</c:v>
                </c:pt>
                <c:pt idx="29">
                  <c:v>191.08</c:v>
                </c:pt>
                <c:pt idx="30">
                  <c:v>185.56</c:v>
                </c:pt>
                <c:pt idx="31">
                  <c:v>185.02</c:v>
                </c:pt>
                <c:pt idx="32">
                  <c:v>179.11</c:v>
                </c:pt>
                <c:pt idx="33">
                  <c:v>180.45</c:v>
                </c:pt>
                <c:pt idx="34">
                  <c:v>178.86</c:v>
                </c:pt>
                <c:pt idx="35">
                  <c:v>179.42</c:v>
                </c:pt>
                <c:pt idx="36">
                  <c:v>180.57</c:v>
                </c:pt>
                <c:pt idx="37">
                  <c:v>176.97</c:v>
                </c:pt>
                <c:pt idx="38">
                  <c:v>176.59</c:v>
                </c:pt>
                <c:pt idx="39">
                  <c:v>174.28</c:v>
                </c:pt>
                <c:pt idx="40">
                  <c:v>177.07</c:v>
                </c:pt>
                <c:pt idx="41">
                  <c:v>178.34</c:v>
                </c:pt>
                <c:pt idx="42">
                  <c:v>176.77</c:v>
                </c:pt>
                <c:pt idx="43">
                  <c:v>179.87</c:v>
                </c:pt>
                <c:pt idx="44">
                  <c:v>180.19</c:v>
                </c:pt>
                <c:pt idx="45">
                  <c:v>182.31</c:v>
                </c:pt>
                <c:pt idx="46">
                  <c:v>181.94</c:v>
                </c:pt>
                <c:pt idx="47">
                  <c:v>180.6</c:v>
                </c:pt>
                <c:pt idx="48">
                  <c:v>182.29</c:v>
                </c:pt>
                <c:pt idx="49">
                  <c:v>182.07</c:v>
                </c:pt>
                <c:pt idx="50">
                  <c:v>180.46</c:v>
                </c:pt>
                <c:pt idx="51">
                  <c:v>178.42</c:v>
                </c:pt>
                <c:pt idx="52">
                  <c:v>180.01</c:v>
                </c:pt>
                <c:pt idx="53">
                  <c:v>177.62</c:v>
                </c:pt>
                <c:pt idx="55">
                  <c:v>179.44</c:v>
                </c:pt>
                <c:pt idx="56">
                  <c:v>178.16</c:v>
                </c:pt>
                <c:pt idx="57">
                  <c:v>179.09</c:v>
                </c:pt>
                <c:pt idx="58">
                  <c:v>170.71</c:v>
                </c:pt>
                <c:pt idx="59">
                  <c:v>168.55</c:v>
                </c:pt>
                <c:pt idx="60">
                  <c:v>164.76</c:v>
                </c:pt>
                <c:pt idx="61">
                  <c:v>166.13</c:v>
                </c:pt>
                <c:pt idx="62">
                  <c:v>164.22</c:v>
                </c:pt>
                <c:pt idx="63">
                  <c:v>162.79</c:v>
                </c:pt>
                <c:pt idx="64">
                  <c:v>170.49</c:v>
                </c:pt>
                <c:pt idx="65">
                  <c:v>175.45</c:v>
                </c:pt>
                <c:pt idx="66">
                  <c:v>174.65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767432"/>
        <c:axId val="725767824"/>
      </c:lineChart>
      <c:catAx>
        <c:axId val="725767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67824"/>
        <c:crosses val="autoZero"/>
        <c:auto val="1"/>
        <c:lblAlgn val="ctr"/>
        <c:lblOffset val="100"/>
        <c:noMultiLvlLbl val="0"/>
      </c:catAx>
      <c:valAx>
        <c:axId val="72576782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67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75.59</c:v>
                </c:pt>
                <c:pt idx="1">
                  <c:v>73.28</c:v>
                </c:pt>
                <c:pt idx="2">
                  <c:v>75.39</c:v>
                </c:pt>
                <c:pt idx="3">
                  <c:v>74.09</c:v>
                </c:pt>
                <c:pt idx="4">
                  <c:v>75.28</c:v>
                </c:pt>
                <c:pt idx="5">
                  <c:v>75.08</c:v>
                </c:pt>
                <c:pt idx="6">
                  <c:v>74.56</c:v>
                </c:pt>
                <c:pt idx="7">
                  <c:v>75.430000000000007</c:v>
                </c:pt>
                <c:pt idx="8">
                  <c:v>75.41</c:v>
                </c:pt>
                <c:pt idx="9">
                  <c:v>75.959999999999994</c:v>
                </c:pt>
                <c:pt idx="10">
                  <c:v>75.67</c:v>
                </c:pt>
                <c:pt idx="11">
                  <c:v>75.75</c:v>
                </c:pt>
                <c:pt idx="12">
                  <c:v>73.739999999999995</c:v>
                </c:pt>
                <c:pt idx="13">
                  <c:v>73.84</c:v>
                </c:pt>
                <c:pt idx="14">
                  <c:v>72.599999999999994</c:v>
                </c:pt>
                <c:pt idx="15">
                  <c:v>72.98</c:v>
                </c:pt>
                <c:pt idx="16">
                  <c:v>71.7</c:v>
                </c:pt>
                <c:pt idx="17">
                  <c:v>71.290000000000006</c:v>
                </c:pt>
                <c:pt idx="18">
                  <c:v>73.5</c:v>
                </c:pt>
                <c:pt idx="19">
                  <c:v>73.06</c:v>
                </c:pt>
                <c:pt idx="20">
                  <c:v>72.14</c:v>
                </c:pt>
                <c:pt idx="21">
                  <c:v>71.48</c:v>
                </c:pt>
                <c:pt idx="22">
                  <c:v>70.47</c:v>
                </c:pt>
                <c:pt idx="23">
                  <c:v>71.72</c:v>
                </c:pt>
                <c:pt idx="24">
                  <c:v>74.42</c:v>
                </c:pt>
                <c:pt idx="25">
                  <c:v>75.38</c:v>
                </c:pt>
                <c:pt idx="26">
                  <c:v>73.59</c:v>
                </c:pt>
                <c:pt idx="27">
                  <c:v>73.180000000000007</c:v>
                </c:pt>
                <c:pt idx="28">
                  <c:v>72.75</c:v>
                </c:pt>
                <c:pt idx="29">
                  <c:v>75.239999999999995</c:v>
                </c:pt>
                <c:pt idx="30">
                  <c:v>74.02</c:v>
                </c:pt>
                <c:pt idx="31">
                  <c:v>74</c:v>
                </c:pt>
                <c:pt idx="32">
                  <c:v>73.739999999999995</c:v>
                </c:pt>
                <c:pt idx="33">
                  <c:v>74.319999999999993</c:v>
                </c:pt>
                <c:pt idx="34">
                  <c:v>74</c:v>
                </c:pt>
                <c:pt idx="35">
                  <c:v>75.040000000000006</c:v>
                </c:pt>
                <c:pt idx="36">
                  <c:v>73.66</c:v>
                </c:pt>
                <c:pt idx="37">
                  <c:v>71.28</c:v>
                </c:pt>
                <c:pt idx="38">
                  <c:v>71.37</c:v>
                </c:pt>
                <c:pt idx="39">
                  <c:v>70.930000000000007</c:v>
                </c:pt>
                <c:pt idx="40">
                  <c:v>73.02</c:v>
                </c:pt>
                <c:pt idx="41">
                  <c:v>72.709999999999994</c:v>
                </c:pt>
                <c:pt idx="42">
                  <c:v>72.88</c:v>
                </c:pt>
                <c:pt idx="43">
                  <c:v>73.28</c:v>
                </c:pt>
                <c:pt idx="44">
                  <c:v>73.53</c:v>
                </c:pt>
                <c:pt idx="45">
                  <c:v>74.67</c:v>
                </c:pt>
                <c:pt idx="46">
                  <c:v>74.790000000000006</c:v>
                </c:pt>
                <c:pt idx="47">
                  <c:v>74.19</c:v>
                </c:pt>
                <c:pt idx="48">
                  <c:v>75.72</c:v>
                </c:pt>
                <c:pt idx="49">
                  <c:v>76.05</c:v>
                </c:pt>
                <c:pt idx="50">
                  <c:v>74.48</c:v>
                </c:pt>
                <c:pt idx="51">
                  <c:v>74.42</c:v>
                </c:pt>
                <c:pt idx="52">
                  <c:v>74.790000000000006</c:v>
                </c:pt>
                <c:pt idx="53">
                  <c:v>72.94</c:v>
                </c:pt>
                <c:pt idx="54">
                  <c:v>72.55</c:v>
                </c:pt>
                <c:pt idx="55">
                  <c:v>73.239999999999995</c:v>
                </c:pt>
                <c:pt idx="56">
                  <c:v>75.17</c:v>
                </c:pt>
                <c:pt idx="57">
                  <c:v>72.739999999999995</c:v>
                </c:pt>
                <c:pt idx="58">
                  <c:v>72.430000000000007</c:v>
                </c:pt>
                <c:pt idx="59">
                  <c:v>70.97</c:v>
                </c:pt>
                <c:pt idx="60">
                  <c:v>68.260000000000005</c:v>
                </c:pt>
                <c:pt idx="61">
                  <c:v>69.27</c:v>
                </c:pt>
                <c:pt idx="62">
                  <c:v>68.47</c:v>
                </c:pt>
                <c:pt idx="63">
                  <c:v>68.95</c:v>
                </c:pt>
                <c:pt idx="64">
                  <c:v>69.72</c:v>
                </c:pt>
                <c:pt idx="65">
                  <c:v>69.25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769784"/>
        <c:axId val="725770176"/>
      </c:lineChart>
      <c:dateAx>
        <c:axId val="725769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70176"/>
        <c:crosses val="autoZero"/>
        <c:auto val="1"/>
        <c:lblOffset val="100"/>
        <c:baseTimeUnit val="days"/>
      </c:dateAx>
      <c:valAx>
        <c:axId val="7257701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69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82.85</c:v>
                </c:pt>
                <c:pt idx="1">
                  <c:v>81.790000000000006</c:v>
                </c:pt>
                <c:pt idx="2">
                  <c:v>82.05</c:v>
                </c:pt>
                <c:pt idx="3">
                  <c:v>81.37</c:v>
                </c:pt>
                <c:pt idx="4">
                  <c:v>82.49</c:v>
                </c:pt>
                <c:pt idx="5">
                  <c:v>82.14</c:v>
                </c:pt>
                <c:pt idx="6">
                  <c:v>81.73</c:v>
                </c:pt>
                <c:pt idx="7">
                  <c:v>81.08</c:v>
                </c:pt>
                <c:pt idx="8">
                  <c:v>81.34</c:v>
                </c:pt>
                <c:pt idx="9">
                  <c:v>80.709999999999994</c:v>
                </c:pt>
                <c:pt idx="10">
                  <c:v>80.239999999999995</c:v>
                </c:pt>
                <c:pt idx="11">
                  <c:v>80.42</c:v>
                </c:pt>
                <c:pt idx="12">
                  <c:v>78.88</c:v>
                </c:pt>
                <c:pt idx="13">
                  <c:v>78.069999999999993</c:v>
                </c:pt>
                <c:pt idx="14">
                  <c:v>77.400000000000006</c:v>
                </c:pt>
                <c:pt idx="15">
                  <c:v>77.45</c:v>
                </c:pt>
                <c:pt idx="16">
                  <c:v>77.81</c:v>
                </c:pt>
                <c:pt idx="17">
                  <c:v>77.760000000000005</c:v>
                </c:pt>
                <c:pt idx="18">
                  <c:v>75.97</c:v>
                </c:pt>
                <c:pt idx="19">
                  <c:v>74.87</c:v>
                </c:pt>
                <c:pt idx="20">
                  <c:v>74.44</c:v>
                </c:pt>
                <c:pt idx="21">
                  <c:v>75.349999999999994</c:v>
                </c:pt>
                <c:pt idx="22">
                  <c:v>74.959999999999994</c:v>
                </c:pt>
                <c:pt idx="23">
                  <c:v>73.19</c:v>
                </c:pt>
                <c:pt idx="24">
                  <c:v>72.47</c:v>
                </c:pt>
                <c:pt idx="25">
                  <c:v>73.09</c:v>
                </c:pt>
                <c:pt idx="26">
                  <c:v>75.87</c:v>
                </c:pt>
                <c:pt idx="27">
                  <c:v>74.650000000000006</c:v>
                </c:pt>
                <c:pt idx="28">
                  <c:v>74.72</c:v>
                </c:pt>
                <c:pt idx="29">
                  <c:v>75.03</c:v>
                </c:pt>
                <c:pt idx="30">
                  <c:v>75.55</c:v>
                </c:pt>
                <c:pt idx="31">
                  <c:v>75.8</c:v>
                </c:pt>
                <c:pt idx="32">
                  <c:v>75.180000000000007</c:v>
                </c:pt>
                <c:pt idx="33">
                  <c:v>75</c:v>
                </c:pt>
                <c:pt idx="34">
                  <c:v>74.19</c:v>
                </c:pt>
                <c:pt idx="35">
                  <c:v>73.72</c:v>
                </c:pt>
                <c:pt idx="36">
                  <c:v>75.22</c:v>
                </c:pt>
                <c:pt idx="37">
                  <c:v>74.760000000000005</c:v>
                </c:pt>
                <c:pt idx="38">
                  <c:v>75.33</c:v>
                </c:pt>
                <c:pt idx="39">
                  <c:v>74.5</c:v>
                </c:pt>
                <c:pt idx="40">
                  <c:v>75.63</c:v>
                </c:pt>
                <c:pt idx="41">
                  <c:v>74.48</c:v>
                </c:pt>
                <c:pt idx="42">
                  <c:v>71.97</c:v>
                </c:pt>
                <c:pt idx="43">
                  <c:v>72.349999999999994</c:v>
                </c:pt>
                <c:pt idx="45">
                  <c:v>72.55</c:v>
                </c:pt>
                <c:pt idx="46">
                  <c:v>73.069999999999993</c:v>
                </c:pt>
                <c:pt idx="47">
                  <c:v>72.88</c:v>
                </c:pt>
                <c:pt idx="48">
                  <c:v>72.11</c:v>
                </c:pt>
                <c:pt idx="49">
                  <c:v>72.62</c:v>
                </c:pt>
                <c:pt idx="50">
                  <c:v>73.349999999999994</c:v>
                </c:pt>
                <c:pt idx="51">
                  <c:v>73.7</c:v>
                </c:pt>
                <c:pt idx="52">
                  <c:v>73.760000000000005</c:v>
                </c:pt>
                <c:pt idx="53">
                  <c:v>73</c:v>
                </c:pt>
                <c:pt idx="54">
                  <c:v>72.47</c:v>
                </c:pt>
                <c:pt idx="55">
                  <c:v>73.75</c:v>
                </c:pt>
                <c:pt idx="56">
                  <c:v>73.48</c:v>
                </c:pt>
                <c:pt idx="57">
                  <c:v>73.040000000000006</c:v>
                </c:pt>
                <c:pt idx="58">
                  <c:v>71.11</c:v>
                </c:pt>
                <c:pt idx="59">
                  <c:v>70.5</c:v>
                </c:pt>
                <c:pt idx="60">
                  <c:v>71.42</c:v>
                </c:pt>
                <c:pt idx="61">
                  <c:v>72.099999999999994</c:v>
                </c:pt>
                <c:pt idx="62">
                  <c:v>70.83</c:v>
                </c:pt>
                <c:pt idx="63">
                  <c:v>70.930000000000007</c:v>
                </c:pt>
                <c:pt idx="64">
                  <c:v>71.010000000000005</c:v>
                </c:pt>
                <c:pt idx="65">
                  <c:v>70.989999999999995</c:v>
                </c:pt>
                <c:pt idx="66">
                  <c:v>71.569999999999993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772136"/>
        <c:axId val="725772528"/>
      </c:lineChart>
      <c:dateAx>
        <c:axId val="725772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72528"/>
        <c:crosses val="autoZero"/>
        <c:auto val="1"/>
        <c:lblOffset val="100"/>
        <c:baseTimeUnit val="days"/>
      </c:dateAx>
      <c:valAx>
        <c:axId val="72577252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72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42788</c:v>
                </c:pt>
                <c:pt idx="9">
                  <c:v>42787</c:v>
                </c:pt>
                <c:pt idx="10">
                  <c:v>42783</c:v>
                </c:pt>
                <c:pt idx="11">
                  <c:v>42782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50.13</c:v>
                </c:pt>
                <c:pt idx="1">
                  <c:v>49.96</c:v>
                </c:pt>
                <c:pt idx="2">
                  <c:v>51.03</c:v>
                </c:pt>
                <c:pt idx="3">
                  <c:v>49.93</c:v>
                </c:pt>
                <c:pt idx="4">
                  <c:v>50.44</c:v>
                </c:pt>
                <c:pt idx="5">
                  <c:v>50.46</c:v>
                </c:pt>
                <c:pt idx="6">
                  <c:v>50.48</c:v>
                </c:pt>
                <c:pt idx="7">
                  <c:v>50.93</c:v>
                </c:pt>
                <c:pt idx="9">
                  <c:v>51.21</c:v>
                </c:pt>
                <c:pt idx="10">
                  <c:v>51.23</c:v>
                </c:pt>
                <c:pt idx="11">
                  <c:v>50.83</c:v>
                </c:pt>
                <c:pt idx="12">
                  <c:v>51.17</c:v>
                </c:pt>
                <c:pt idx="13">
                  <c:v>49.86</c:v>
                </c:pt>
                <c:pt idx="14">
                  <c:v>50.06</c:v>
                </c:pt>
                <c:pt idx="15">
                  <c:v>49.26</c:v>
                </c:pt>
                <c:pt idx="16">
                  <c:v>49.33</c:v>
                </c:pt>
                <c:pt idx="17">
                  <c:v>48.1</c:v>
                </c:pt>
                <c:pt idx="18">
                  <c:v>48.15</c:v>
                </c:pt>
                <c:pt idx="19">
                  <c:v>48.26</c:v>
                </c:pt>
                <c:pt idx="20">
                  <c:v>47.81</c:v>
                </c:pt>
                <c:pt idx="21">
                  <c:v>47.38</c:v>
                </c:pt>
                <c:pt idx="22">
                  <c:v>47.26</c:v>
                </c:pt>
                <c:pt idx="23">
                  <c:v>47.24</c:v>
                </c:pt>
                <c:pt idx="24">
                  <c:v>47.67</c:v>
                </c:pt>
                <c:pt idx="25">
                  <c:v>49.7</c:v>
                </c:pt>
                <c:pt idx="26">
                  <c:v>50.9</c:v>
                </c:pt>
                <c:pt idx="27">
                  <c:v>50.19</c:v>
                </c:pt>
                <c:pt idx="28">
                  <c:v>49.44</c:v>
                </c:pt>
                <c:pt idx="29">
                  <c:v>48.77</c:v>
                </c:pt>
                <c:pt idx="30">
                  <c:v>50.5</c:v>
                </c:pt>
                <c:pt idx="31">
                  <c:v>49.7</c:v>
                </c:pt>
                <c:pt idx="32">
                  <c:v>50.3</c:v>
                </c:pt>
                <c:pt idx="33">
                  <c:v>50.33</c:v>
                </c:pt>
                <c:pt idx="34">
                  <c:v>51.23</c:v>
                </c:pt>
                <c:pt idx="35">
                  <c:v>50.89</c:v>
                </c:pt>
                <c:pt idx="36">
                  <c:v>51.44</c:v>
                </c:pt>
                <c:pt idx="37">
                  <c:v>50.93</c:v>
                </c:pt>
                <c:pt idx="38">
                  <c:v>49.69</c:v>
                </c:pt>
                <c:pt idx="39">
                  <c:v>49.68</c:v>
                </c:pt>
                <c:pt idx="40">
                  <c:v>49.73</c:v>
                </c:pt>
                <c:pt idx="41">
                  <c:v>50.7</c:v>
                </c:pt>
                <c:pt idx="42">
                  <c:v>49.48</c:v>
                </c:pt>
                <c:pt idx="43">
                  <c:v>49.19</c:v>
                </c:pt>
                <c:pt idx="44">
                  <c:v>49.31</c:v>
                </c:pt>
                <c:pt idx="45">
                  <c:v>49.51</c:v>
                </c:pt>
                <c:pt idx="46">
                  <c:v>50.36</c:v>
                </c:pt>
                <c:pt idx="47">
                  <c:v>49.89</c:v>
                </c:pt>
                <c:pt idx="48">
                  <c:v>49.8</c:v>
                </c:pt>
                <c:pt idx="49">
                  <c:v>50.92</c:v>
                </c:pt>
                <c:pt idx="50">
                  <c:v>50.76</c:v>
                </c:pt>
                <c:pt idx="51">
                  <c:v>50.42</c:v>
                </c:pt>
                <c:pt idx="52">
                  <c:v>50.16</c:v>
                </c:pt>
                <c:pt idx="53">
                  <c:v>50.5</c:v>
                </c:pt>
                <c:pt idx="54">
                  <c:v>49.82</c:v>
                </c:pt>
                <c:pt idx="55">
                  <c:v>49.66</c:v>
                </c:pt>
                <c:pt idx="56">
                  <c:v>49.97</c:v>
                </c:pt>
                <c:pt idx="57">
                  <c:v>51.78</c:v>
                </c:pt>
                <c:pt idx="58">
                  <c:v>51.35</c:v>
                </c:pt>
                <c:pt idx="59">
                  <c:v>51.1</c:v>
                </c:pt>
                <c:pt idx="60">
                  <c:v>49.43</c:v>
                </c:pt>
                <c:pt idx="61">
                  <c:v>47.82</c:v>
                </c:pt>
                <c:pt idx="62">
                  <c:v>48.31</c:v>
                </c:pt>
                <c:pt idx="63">
                  <c:v>47.77</c:v>
                </c:pt>
                <c:pt idx="64">
                  <c:v>48.18</c:v>
                </c:pt>
                <c:pt idx="65">
                  <c:v>48.59</c:v>
                </c:pt>
                <c:pt idx="66">
                  <c:v>48.49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774488"/>
        <c:axId val="725774880"/>
      </c:lineChart>
      <c:dateAx>
        <c:axId val="725774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74880"/>
        <c:crosses val="autoZero"/>
        <c:auto val="1"/>
        <c:lblOffset val="100"/>
        <c:baseTimeUnit val="days"/>
      </c:dateAx>
      <c:valAx>
        <c:axId val="72577488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74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42794</c:v>
                </c:pt>
                <c:pt idx="5">
                  <c:v>42793</c:v>
                </c:pt>
                <c:pt idx="6">
                  <c:v>42790</c:v>
                </c:pt>
                <c:pt idx="7">
                  <c:v>42789</c:v>
                </c:pt>
                <c:pt idx="8">
                  <c:v>42788</c:v>
                </c:pt>
                <c:pt idx="9">
                  <c:v>42787</c:v>
                </c:pt>
                <c:pt idx="10">
                  <c:v>42783</c:v>
                </c:pt>
                <c:pt idx="11">
                  <c:v>42782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42705</c:v>
                </c:pt>
                <c:pt idx="65">
                  <c:v>42704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34.700000000000003</c:v>
                </c:pt>
                <c:pt idx="1">
                  <c:v>34.799999999999997</c:v>
                </c:pt>
                <c:pt idx="2">
                  <c:v>35.01</c:v>
                </c:pt>
                <c:pt idx="3">
                  <c:v>35.020000000000003</c:v>
                </c:pt>
                <c:pt idx="5">
                  <c:v>35.75</c:v>
                </c:pt>
                <c:pt idx="6">
                  <c:v>35.380000000000003</c:v>
                </c:pt>
                <c:pt idx="7">
                  <c:v>35.82</c:v>
                </c:pt>
                <c:pt idx="8">
                  <c:v>35.97</c:v>
                </c:pt>
                <c:pt idx="9">
                  <c:v>36.65</c:v>
                </c:pt>
                <c:pt idx="10">
                  <c:v>35.200000000000003</c:v>
                </c:pt>
                <c:pt idx="11">
                  <c:v>35.81</c:v>
                </c:pt>
                <c:pt idx="12">
                  <c:v>36.770000000000003</c:v>
                </c:pt>
                <c:pt idx="13">
                  <c:v>34.9</c:v>
                </c:pt>
                <c:pt idx="14">
                  <c:v>34</c:v>
                </c:pt>
                <c:pt idx="15">
                  <c:v>32.19</c:v>
                </c:pt>
                <c:pt idx="16">
                  <c:v>32.25</c:v>
                </c:pt>
                <c:pt idx="17">
                  <c:v>32.380000000000003</c:v>
                </c:pt>
                <c:pt idx="18">
                  <c:v>32.19</c:v>
                </c:pt>
                <c:pt idx="19">
                  <c:v>34.35</c:v>
                </c:pt>
                <c:pt idx="20">
                  <c:v>34.44</c:v>
                </c:pt>
                <c:pt idx="21">
                  <c:v>34.19</c:v>
                </c:pt>
                <c:pt idx="22">
                  <c:v>34.69</c:v>
                </c:pt>
                <c:pt idx="23">
                  <c:v>33.43</c:v>
                </c:pt>
                <c:pt idx="24">
                  <c:v>34.520000000000003</c:v>
                </c:pt>
                <c:pt idx="25">
                  <c:v>34.590000000000003</c:v>
                </c:pt>
                <c:pt idx="26">
                  <c:v>33.93</c:v>
                </c:pt>
                <c:pt idx="27">
                  <c:v>33.68</c:v>
                </c:pt>
                <c:pt idx="28">
                  <c:v>32.6</c:v>
                </c:pt>
                <c:pt idx="29">
                  <c:v>32.71</c:v>
                </c:pt>
                <c:pt idx="30">
                  <c:v>33.229999999999997</c:v>
                </c:pt>
                <c:pt idx="31">
                  <c:v>33.47</c:v>
                </c:pt>
                <c:pt idx="32">
                  <c:v>34.1</c:v>
                </c:pt>
                <c:pt idx="33">
                  <c:v>33.75</c:v>
                </c:pt>
                <c:pt idx="34">
                  <c:v>33.97</c:v>
                </c:pt>
                <c:pt idx="35">
                  <c:v>33.94</c:v>
                </c:pt>
                <c:pt idx="36">
                  <c:v>34.28</c:v>
                </c:pt>
                <c:pt idx="37">
                  <c:v>35.200000000000003</c:v>
                </c:pt>
                <c:pt idx="38">
                  <c:v>35.06</c:v>
                </c:pt>
                <c:pt idx="39">
                  <c:v>35.1</c:v>
                </c:pt>
                <c:pt idx="40">
                  <c:v>37.96</c:v>
                </c:pt>
                <c:pt idx="41">
                  <c:v>37.74</c:v>
                </c:pt>
                <c:pt idx="42">
                  <c:v>37.479999999999997</c:v>
                </c:pt>
                <c:pt idx="43">
                  <c:v>36.25</c:v>
                </c:pt>
                <c:pt idx="44">
                  <c:v>36.08</c:v>
                </c:pt>
                <c:pt idx="45">
                  <c:v>35.93</c:v>
                </c:pt>
                <c:pt idx="46">
                  <c:v>36.340000000000003</c:v>
                </c:pt>
                <c:pt idx="47">
                  <c:v>36.82</c:v>
                </c:pt>
                <c:pt idx="48">
                  <c:v>36.909999999999997</c:v>
                </c:pt>
                <c:pt idx="49">
                  <c:v>36.369999999999997</c:v>
                </c:pt>
                <c:pt idx="50">
                  <c:v>36.25</c:v>
                </c:pt>
                <c:pt idx="51">
                  <c:v>36.57</c:v>
                </c:pt>
                <c:pt idx="52">
                  <c:v>36.51</c:v>
                </c:pt>
                <c:pt idx="53">
                  <c:v>36.729999999999997</c:v>
                </c:pt>
                <c:pt idx="54">
                  <c:v>37</c:v>
                </c:pt>
                <c:pt idx="55">
                  <c:v>37.659999999999997</c:v>
                </c:pt>
                <c:pt idx="56">
                  <c:v>37.25</c:v>
                </c:pt>
                <c:pt idx="57">
                  <c:v>36.299999999999997</c:v>
                </c:pt>
                <c:pt idx="58">
                  <c:v>35.909999999999997</c:v>
                </c:pt>
                <c:pt idx="59">
                  <c:v>35.270000000000003</c:v>
                </c:pt>
                <c:pt idx="60">
                  <c:v>35.03</c:v>
                </c:pt>
                <c:pt idx="61">
                  <c:v>37.04</c:v>
                </c:pt>
                <c:pt idx="62">
                  <c:v>36.53</c:v>
                </c:pt>
                <c:pt idx="63">
                  <c:v>36.57</c:v>
                </c:pt>
                <c:pt idx="65">
                  <c:v>37.700000000000003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776840"/>
        <c:axId val="725777232"/>
      </c:lineChart>
      <c:dateAx>
        <c:axId val="7257768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77232"/>
        <c:crosses val="autoZero"/>
        <c:auto val="1"/>
        <c:lblOffset val="100"/>
        <c:baseTimeUnit val="days"/>
      </c:dateAx>
      <c:valAx>
        <c:axId val="72577723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76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111.24</c:v>
                </c:pt>
                <c:pt idx="1">
                  <c:v>110.59</c:v>
                </c:pt>
                <c:pt idx="2">
                  <c:v>111.04</c:v>
                </c:pt>
                <c:pt idx="3">
                  <c:v>110.09</c:v>
                </c:pt>
                <c:pt idx="4">
                  <c:v>110.23</c:v>
                </c:pt>
                <c:pt idx="5">
                  <c:v>110.32</c:v>
                </c:pt>
                <c:pt idx="6">
                  <c:v>109.73</c:v>
                </c:pt>
                <c:pt idx="7">
                  <c:v>110.12</c:v>
                </c:pt>
                <c:pt idx="8">
                  <c:v>110.01</c:v>
                </c:pt>
                <c:pt idx="9">
                  <c:v>110.06</c:v>
                </c:pt>
                <c:pt idx="10">
                  <c:v>110.71</c:v>
                </c:pt>
                <c:pt idx="11">
                  <c:v>110.18</c:v>
                </c:pt>
                <c:pt idx="12">
                  <c:v>110.33</c:v>
                </c:pt>
                <c:pt idx="13">
                  <c:v>109.65</c:v>
                </c:pt>
                <c:pt idx="14">
                  <c:v>109.26</c:v>
                </c:pt>
                <c:pt idx="15">
                  <c:v>109.49</c:v>
                </c:pt>
                <c:pt idx="16">
                  <c:v>109</c:v>
                </c:pt>
                <c:pt idx="17">
                  <c:v>109</c:v>
                </c:pt>
                <c:pt idx="18">
                  <c:v>109.57</c:v>
                </c:pt>
                <c:pt idx="19">
                  <c:v>110.3</c:v>
                </c:pt>
                <c:pt idx="20">
                  <c:v>110.61</c:v>
                </c:pt>
                <c:pt idx="21">
                  <c:v>111.3</c:v>
                </c:pt>
                <c:pt idx="22">
                  <c:v>110.65</c:v>
                </c:pt>
                <c:pt idx="23">
                  <c:v>110.94</c:v>
                </c:pt>
                <c:pt idx="24">
                  <c:v>109.3</c:v>
                </c:pt>
                <c:pt idx="25">
                  <c:v>108.06</c:v>
                </c:pt>
                <c:pt idx="26">
                  <c:v>108.04</c:v>
                </c:pt>
                <c:pt idx="27">
                  <c:v>107.9</c:v>
                </c:pt>
                <c:pt idx="28">
                  <c:v>107.12</c:v>
                </c:pt>
                <c:pt idx="29">
                  <c:v>107.66</c:v>
                </c:pt>
                <c:pt idx="30">
                  <c:v>107.28</c:v>
                </c:pt>
                <c:pt idx="31">
                  <c:v>108.16</c:v>
                </c:pt>
                <c:pt idx="32">
                  <c:v>107.97</c:v>
                </c:pt>
                <c:pt idx="33">
                  <c:v>108.06</c:v>
                </c:pt>
                <c:pt idx="34">
                  <c:v>107.53</c:v>
                </c:pt>
                <c:pt idx="35">
                  <c:v>109.44</c:v>
                </c:pt>
                <c:pt idx="36">
                  <c:v>108.38</c:v>
                </c:pt>
                <c:pt idx="37">
                  <c:v>108.36</c:v>
                </c:pt>
                <c:pt idx="38">
                  <c:v>108.98</c:v>
                </c:pt>
                <c:pt idx="39">
                  <c:v>107.38</c:v>
                </c:pt>
                <c:pt idx="40">
                  <c:v>107.44</c:v>
                </c:pt>
                <c:pt idx="41">
                  <c:v>106.08</c:v>
                </c:pt>
                <c:pt idx="42">
                  <c:v>104.22</c:v>
                </c:pt>
                <c:pt idx="43">
                  <c:v>104.56</c:v>
                </c:pt>
                <c:pt idx="44">
                  <c:v>104.3</c:v>
                </c:pt>
                <c:pt idx="45">
                  <c:v>105.17</c:v>
                </c:pt>
                <c:pt idx="46">
                  <c:v>105.15</c:v>
                </c:pt>
                <c:pt idx="47">
                  <c:v>105.42</c:v>
                </c:pt>
                <c:pt idx="48">
                  <c:v>105.56</c:v>
                </c:pt>
                <c:pt idx="49">
                  <c:v>105.46</c:v>
                </c:pt>
                <c:pt idx="50">
                  <c:v>105.3</c:v>
                </c:pt>
                <c:pt idx="51">
                  <c:v>103.91</c:v>
                </c:pt>
                <c:pt idx="52">
                  <c:v>104.39</c:v>
                </c:pt>
                <c:pt idx="53">
                  <c:v>104.05</c:v>
                </c:pt>
                <c:pt idx="54">
                  <c:v>103.85</c:v>
                </c:pt>
                <c:pt idx="55">
                  <c:v>104.06</c:v>
                </c:pt>
                <c:pt idx="56">
                  <c:v>104.86</c:v>
                </c:pt>
                <c:pt idx="57">
                  <c:v>103.38</c:v>
                </c:pt>
                <c:pt idx="59">
                  <c:v>101.99</c:v>
                </c:pt>
                <c:pt idx="60">
                  <c:v>100.66</c:v>
                </c:pt>
                <c:pt idx="61">
                  <c:v>99.96</c:v>
                </c:pt>
                <c:pt idx="62">
                  <c:v>98.5</c:v>
                </c:pt>
                <c:pt idx="63">
                  <c:v>98.94</c:v>
                </c:pt>
                <c:pt idx="64">
                  <c:v>99.12</c:v>
                </c:pt>
                <c:pt idx="65">
                  <c:v>99.67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779192"/>
        <c:axId val="725779584"/>
      </c:lineChart>
      <c:dateAx>
        <c:axId val="725779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79584"/>
        <c:crosses val="autoZero"/>
        <c:auto val="1"/>
        <c:lblOffset val="100"/>
        <c:baseTimeUnit val="days"/>
      </c:dateAx>
      <c:valAx>
        <c:axId val="72577958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79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2.87</c:v>
                </c:pt>
                <c:pt idx="1">
                  <c:v>2.81</c:v>
                </c:pt>
                <c:pt idx="2">
                  <c:v>2.92</c:v>
                </c:pt>
                <c:pt idx="3">
                  <c:v>2.93</c:v>
                </c:pt>
                <c:pt idx="4">
                  <c:v>3.29</c:v>
                </c:pt>
                <c:pt idx="5">
                  <c:v>3.37</c:v>
                </c:pt>
                <c:pt idx="6">
                  <c:v>3.39</c:v>
                </c:pt>
                <c:pt idx="7">
                  <c:v>3.35</c:v>
                </c:pt>
                <c:pt idx="8">
                  <c:v>3.32</c:v>
                </c:pt>
                <c:pt idx="9">
                  <c:v>3.29</c:v>
                </c:pt>
                <c:pt idx="10">
                  <c:v>3.29</c:v>
                </c:pt>
                <c:pt idx="11">
                  <c:v>3.3</c:v>
                </c:pt>
                <c:pt idx="12">
                  <c:v>3.34</c:v>
                </c:pt>
                <c:pt idx="13">
                  <c:v>3.28</c:v>
                </c:pt>
                <c:pt idx="14">
                  <c:v>3.31</c:v>
                </c:pt>
                <c:pt idx="15">
                  <c:v>3.28</c:v>
                </c:pt>
                <c:pt idx="16">
                  <c:v>3.3</c:v>
                </c:pt>
                <c:pt idx="17">
                  <c:v>3.27</c:v>
                </c:pt>
                <c:pt idx="18">
                  <c:v>3.33</c:v>
                </c:pt>
                <c:pt idx="19">
                  <c:v>3.42</c:v>
                </c:pt>
                <c:pt idx="20">
                  <c:v>3.37</c:v>
                </c:pt>
                <c:pt idx="21">
                  <c:v>3.41</c:v>
                </c:pt>
                <c:pt idx="22">
                  <c:v>3.49</c:v>
                </c:pt>
                <c:pt idx="23">
                  <c:v>3.49</c:v>
                </c:pt>
                <c:pt idx="24">
                  <c:v>3.54</c:v>
                </c:pt>
                <c:pt idx="25">
                  <c:v>3.5</c:v>
                </c:pt>
                <c:pt idx="26">
                  <c:v>3.44</c:v>
                </c:pt>
                <c:pt idx="27">
                  <c:v>3.47</c:v>
                </c:pt>
                <c:pt idx="28">
                  <c:v>3.54</c:v>
                </c:pt>
                <c:pt idx="29">
                  <c:v>3.49</c:v>
                </c:pt>
                <c:pt idx="30">
                  <c:v>3.48</c:v>
                </c:pt>
                <c:pt idx="31">
                  <c:v>3.54</c:v>
                </c:pt>
                <c:pt idx="32">
                  <c:v>3.55</c:v>
                </c:pt>
                <c:pt idx="33">
                  <c:v>3.54</c:v>
                </c:pt>
                <c:pt idx="34">
                  <c:v>3.53</c:v>
                </c:pt>
                <c:pt idx="35">
                  <c:v>3.61</c:v>
                </c:pt>
                <c:pt idx="36">
                  <c:v>3.63</c:v>
                </c:pt>
                <c:pt idx="37">
                  <c:v>3.68</c:v>
                </c:pt>
                <c:pt idx="38">
                  <c:v>3.75</c:v>
                </c:pt>
                <c:pt idx="39">
                  <c:v>3.73</c:v>
                </c:pt>
                <c:pt idx="40">
                  <c:v>3.67</c:v>
                </c:pt>
                <c:pt idx="41">
                  <c:v>3.58</c:v>
                </c:pt>
                <c:pt idx="42">
                  <c:v>3.38</c:v>
                </c:pt>
                <c:pt idx="43">
                  <c:v>3.36</c:v>
                </c:pt>
                <c:pt idx="44">
                  <c:v>3.35</c:v>
                </c:pt>
                <c:pt idx="45">
                  <c:v>3.42</c:v>
                </c:pt>
                <c:pt idx="46">
                  <c:v>3.42</c:v>
                </c:pt>
                <c:pt idx="47">
                  <c:v>3.34</c:v>
                </c:pt>
                <c:pt idx="48">
                  <c:v>3.29</c:v>
                </c:pt>
                <c:pt idx="49">
                  <c:v>3.45</c:v>
                </c:pt>
                <c:pt idx="50">
                  <c:v>3.57</c:v>
                </c:pt>
                <c:pt idx="51">
                  <c:v>3.56</c:v>
                </c:pt>
                <c:pt idx="52">
                  <c:v>3.49</c:v>
                </c:pt>
                <c:pt idx="53">
                  <c:v>3.44</c:v>
                </c:pt>
                <c:pt idx="54">
                  <c:v>3.45</c:v>
                </c:pt>
                <c:pt idx="56">
                  <c:v>3.49</c:v>
                </c:pt>
                <c:pt idx="57">
                  <c:v>3.67</c:v>
                </c:pt>
                <c:pt idx="58">
                  <c:v>3.7</c:v>
                </c:pt>
                <c:pt idx="59">
                  <c:v>3.6</c:v>
                </c:pt>
                <c:pt idx="60">
                  <c:v>3.53</c:v>
                </c:pt>
                <c:pt idx="61">
                  <c:v>3.42</c:v>
                </c:pt>
                <c:pt idx="62">
                  <c:v>3.48</c:v>
                </c:pt>
                <c:pt idx="63">
                  <c:v>3.51</c:v>
                </c:pt>
                <c:pt idx="64">
                  <c:v>3.65</c:v>
                </c:pt>
                <c:pt idx="65">
                  <c:v>3.67</c:v>
                </c:pt>
                <c:pt idx="66">
                  <c:v>3.74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781544"/>
        <c:axId val="725781936"/>
      </c:lineChart>
      <c:dateAx>
        <c:axId val="7257815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81936"/>
        <c:crosses val="autoZero"/>
        <c:auto val="1"/>
        <c:lblOffset val="100"/>
        <c:baseTimeUnit val="days"/>
      </c:dateAx>
      <c:valAx>
        <c:axId val="725781936"/>
        <c:scaling>
          <c:orientation val="minMax"/>
          <c:min val="2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81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19-Dec-16</c:v>
                </c:pt>
                <c:pt idx="51">
                  <c:v>16-Dec-16</c:v>
                </c:pt>
                <c:pt idx="52">
                  <c:v>15-Dec-16</c:v>
                </c:pt>
                <c:pt idx="53">
                  <c:v>14-Dec-16</c:v>
                </c:pt>
                <c:pt idx="54">
                  <c:v>13-Dec-16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70.739999999999995</c:v>
                </c:pt>
                <c:pt idx="1">
                  <c:v>70.53</c:v>
                </c:pt>
                <c:pt idx="2">
                  <c:v>70.19</c:v>
                </c:pt>
                <c:pt idx="3">
                  <c:v>70.48</c:v>
                </c:pt>
                <c:pt idx="4">
                  <c:v>70.5</c:v>
                </c:pt>
                <c:pt idx="5">
                  <c:v>69.94</c:v>
                </c:pt>
                <c:pt idx="6">
                  <c:v>69.37</c:v>
                </c:pt>
                <c:pt idx="7">
                  <c:v>68.83</c:v>
                </c:pt>
                <c:pt idx="8">
                  <c:v>69.290000000000006</c:v>
                </c:pt>
                <c:pt idx="9">
                  <c:v>69.849999999999994</c:v>
                </c:pt>
                <c:pt idx="10">
                  <c:v>70.31</c:v>
                </c:pt>
                <c:pt idx="11">
                  <c:v>69.8</c:v>
                </c:pt>
                <c:pt idx="12">
                  <c:v>67.55</c:v>
                </c:pt>
                <c:pt idx="13">
                  <c:v>67.650000000000006</c:v>
                </c:pt>
                <c:pt idx="14">
                  <c:v>66.36</c:v>
                </c:pt>
                <c:pt idx="15">
                  <c:v>65.59</c:v>
                </c:pt>
                <c:pt idx="16">
                  <c:v>66.83</c:v>
                </c:pt>
                <c:pt idx="17">
                  <c:v>73.13</c:v>
                </c:pt>
                <c:pt idx="18">
                  <c:v>72.39</c:v>
                </c:pt>
                <c:pt idx="19">
                  <c:v>72.34</c:v>
                </c:pt>
                <c:pt idx="20">
                  <c:v>72.25</c:v>
                </c:pt>
                <c:pt idx="21">
                  <c:v>72.819999999999993</c:v>
                </c:pt>
                <c:pt idx="22">
                  <c:v>72.45</c:v>
                </c:pt>
                <c:pt idx="23">
                  <c:v>71.510000000000005</c:v>
                </c:pt>
                <c:pt idx="24">
                  <c:v>71.260000000000005</c:v>
                </c:pt>
                <c:pt idx="25">
                  <c:v>71.22</c:v>
                </c:pt>
                <c:pt idx="26">
                  <c:v>71.91</c:v>
                </c:pt>
                <c:pt idx="27">
                  <c:v>70.25</c:v>
                </c:pt>
                <c:pt idx="28">
                  <c:v>70.69</c:v>
                </c:pt>
                <c:pt idx="29">
                  <c:v>71.010000000000005</c:v>
                </c:pt>
                <c:pt idx="30">
                  <c:v>71.569999999999993</c:v>
                </c:pt>
                <c:pt idx="31">
                  <c:v>72.13</c:v>
                </c:pt>
                <c:pt idx="32">
                  <c:v>71.91</c:v>
                </c:pt>
                <c:pt idx="33">
                  <c:v>73.069999999999993</c:v>
                </c:pt>
                <c:pt idx="34">
                  <c:v>73.36</c:v>
                </c:pt>
                <c:pt idx="35">
                  <c:v>73.77</c:v>
                </c:pt>
                <c:pt idx="36">
                  <c:v>75.010000000000005</c:v>
                </c:pt>
                <c:pt idx="37">
                  <c:v>75.84</c:v>
                </c:pt>
                <c:pt idx="38">
                  <c:v>75.489999999999995</c:v>
                </c:pt>
                <c:pt idx="39">
                  <c:v>76.010000000000005</c:v>
                </c:pt>
                <c:pt idx="40">
                  <c:v>76.38</c:v>
                </c:pt>
                <c:pt idx="41">
                  <c:v>74.16</c:v>
                </c:pt>
                <c:pt idx="42">
                  <c:v>71.61</c:v>
                </c:pt>
                <c:pt idx="43">
                  <c:v>72.13</c:v>
                </c:pt>
                <c:pt idx="44">
                  <c:v>72.77</c:v>
                </c:pt>
                <c:pt idx="45">
                  <c:v>73.73</c:v>
                </c:pt>
                <c:pt idx="46">
                  <c:v>73.64</c:v>
                </c:pt>
                <c:pt idx="47">
                  <c:v>73.3</c:v>
                </c:pt>
                <c:pt idx="48">
                  <c:v>73.959999999999994</c:v>
                </c:pt>
                <c:pt idx="49">
                  <c:v>74.05</c:v>
                </c:pt>
                <c:pt idx="50">
                  <c:v>74.400000000000006</c:v>
                </c:pt>
                <c:pt idx="51">
                  <c:v>74.099999999999994</c:v>
                </c:pt>
                <c:pt idx="52">
                  <c:v>75.55</c:v>
                </c:pt>
                <c:pt idx="53">
                  <c:v>75.709999999999994</c:v>
                </c:pt>
                <c:pt idx="54">
                  <c:v>74.84</c:v>
                </c:pt>
                <c:pt idx="56">
                  <c:v>73.47</c:v>
                </c:pt>
                <c:pt idx="57">
                  <c:v>72.7</c:v>
                </c:pt>
                <c:pt idx="58">
                  <c:v>72.02</c:v>
                </c:pt>
                <c:pt idx="59">
                  <c:v>72.78</c:v>
                </c:pt>
                <c:pt idx="60">
                  <c:v>72.47</c:v>
                </c:pt>
                <c:pt idx="61">
                  <c:v>72.36</c:v>
                </c:pt>
                <c:pt idx="62">
                  <c:v>72.42</c:v>
                </c:pt>
                <c:pt idx="63">
                  <c:v>72.84</c:v>
                </c:pt>
                <c:pt idx="64">
                  <c:v>73.7</c:v>
                </c:pt>
                <c:pt idx="65">
                  <c:v>74.87</c:v>
                </c:pt>
                <c:pt idx="66">
                  <c:v>74.540000000000006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783896"/>
        <c:axId val="725784288"/>
      </c:lineChart>
      <c:catAx>
        <c:axId val="725783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84288"/>
        <c:crosses val="autoZero"/>
        <c:auto val="1"/>
        <c:lblAlgn val="ctr"/>
        <c:lblOffset val="100"/>
        <c:noMultiLvlLbl val="0"/>
      </c:catAx>
      <c:valAx>
        <c:axId val="725784288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83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70.81</c:v>
                </c:pt>
                <c:pt idx="1">
                  <c:v>71.959999999999994</c:v>
                </c:pt>
                <c:pt idx="2">
                  <c:v>70.45</c:v>
                </c:pt>
                <c:pt idx="3">
                  <c:v>71.86</c:v>
                </c:pt>
                <c:pt idx="4">
                  <c:v>70.09</c:v>
                </c:pt>
                <c:pt idx="5">
                  <c:v>70.02</c:v>
                </c:pt>
                <c:pt idx="6">
                  <c:v>71</c:v>
                </c:pt>
                <c:pt idx="7">
                  <c:v>71.19</c:v>
                </c:pt>
                <c:pt idx="8">
                  <c:v>70.38</c:v>
                </c:pt>
                <c:pt idx="9">
                  <c:v>70.209999999999994</c:v>
                </c:pt>
                <c:pt idx="10">
                  <c:v>70.39</c:v>
                </c:pt>
                <c:pt idx="12">
                  <c:v>70.06</c:v>
                </c:pt>
                <c:pt idx="13">
                  <c:v>70.040000000000006</c:v>
                </c:pt>
                <c:pt idx="14">
                  <c:v>70.239999999999995</c:v>
                </c:pt>
                <c:pt idx="15">
                  <c:v>70.39</c:v>
                </c:pt>
                <c:pt idx="16">
                  <c:v>69.400000000000006</c:v>
                </c:pt>
                <c:pt idx="17">
                  <c:v>69.73</c:v>
                </c:pt>
                <c:pt idx="18">
                  <c:v>70.010000000000005</c:v>
                </c:pt>
                <c:pt idx="19">
                  <c:v>70.33</c:v>
                </c:pt>
                <c:pt idx="20">
                  <c:v>69.150000000000006</c:v>
                </c:pt>
                <c:pt idx="21">
                  <c:v>69.510000000000005</c:v>
                </c:pt>
                <c:pt idx="22">
                  <c:v>69.64</c:v>
                </c:pt>
                <c:pt idx="23">
                  <c:v>70.03</c:v>
                </c:pt>
                <c:pt idx="24">
                  <c:v>70</c:v>
                </c:pt>
                <c:pt idx="25">
                  <c:v>70.23</c:v>
                </c:pt>
                <c:pt idx="26">
                  <c:v>69.44</c:v>
                </c:pt>
                <c:pt idx="27">
                  <c:v>69.39</c:v>
                </c:pt>
                <c:pt idx="28">
                  <c:v>65.8</c:v>
                </c:pt>
                <c:pt idx="29">
                  <c:v>67.599999999999994</c:v>
                </c:pt>
                <c:pt idx="30">
                  <c:v>67.459999999999994</c:v>
                </c:pt>
                <c:pt idx="31">
                  <c:v>68.44</c:v>
                </c:pt>
                <c:pt idx="32">
                  <c:v>67.92</c:v>
                </c:pt>
                <c:pt idx="33">
                  <c:v>69.58</c:v>
                </c:pt>
                <c:pt idx="34">
                  <c:v>68.72</c:v>
                </c:pt>
                <c:pt idx="35">
                  <c:v>69.66</c:v>
                </c:pt>
                <c:pt idx="36">
                  <c:v>69.16</c:v>
                </c:pt>
                <c:pt idx="37">
                  <c:v>68.17</c:v>
                </c:pt>
                <c:pt idx="38">
                  <c:v>69.19</c:v>
                </c:pt>
                <c:pt idx="39">
                  <c:v>69.2</c:v>
                </c:pt>
                <c:pt idx="40">
                  <c:v>70.19</c:v>
                </c:pt>
                <c:pt idx="41">
                  <c:v>69.47</c:v>
                </c:pt>
                <c:pt idx="42">
                  <c:v>69.05</c:v>
                </c:pt>
                <c:pt idx="43">
                  <c:v>69.23</c:v>
                </c:pt>
                <c:pt idx="44">
                  <c:v>69.180000000000007</c:v>
                </c:pt>
                <c:pt idx="45">
                  <c:v>70.25</c:v>
                </c:pt>
                <c:pt idx="46">
                  <c:v>70.39</c:v>
                </c:pt>
                <c:pt idx="47">
                  <c:v>70.16</c:v>
                </c:pt>
                <c:pt idx="48">
                  <c:v>70.08</c:v>
                </c:pt>
                <c:pt idx="49">
                  <c:v>70.459999999999994</c:v>
                </c:pt>
                <c:pt idx="50">
                  <c:v>70</c:v>
                </c:pt>
                <c:pt idx="51">
                  <c:v>69.47</c:v>
                </c:pt>
                <c:pt idx="52">
                  <c:v>70.14</c:v>
                </c:pt>
                <c:pt idx="53">
                  <c:v>69.22</c:v>
                </c:pt>
                <c:pt idx="54">
                  <c:v>70.64</c:v>
                </c:pt>
                <c:pt idx="55">
                  <c:v>70.290000000000006</c:v>
                </c:pt>
                <c:pt idx="56">
                  <c:v>70.069999999999993</c:v>
                </c:pt>
                <c:pt idx="57">
                  <c:v>70.84</c:v>
                </c:pt>
                <c:pt idx="58">
                  <c:v>71.099999999999994</c:v>
                </c:pt>
                <c:pt idx="59">
                  <c:v>69.84</c:v>
                </c:pt>
                <c:pt idx="60">
                  <c:v>68.97</c:v>
                </c:pt>
                <c:pt idx="61">
                  <c:v>68.94</c:v>
                </c:pt>
                <c:pt idx="62">
                  <c:v>68.39</c:v>
                </c:pt>
                <c:pt idx="63">
                  <c:v>67.73</c:v>
                </c:pt>
                <c:pt idx="64">
                  <c:v>67.38</c:v>
                </c:pt>
                <c:pt idx="65">
                  <c:v>67.290000000000006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786248"/>
        <c:axId val="725786640"/>
      </c:lineChart>
      <c:dateAx>
        <c:axId val="725786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86640"/>
        <c:crosses val="autoZero"/>
        <c:auto val="1"/>
        <c:lblOffset val="100"/>
        <c:baseTimeUnit val="days"/>
      </c:dateAx>
      <c:valAx>
        <c:axId val="72578664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86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60.73</c:v>
                </c:pt>
                <c:pt idx="1">
                  <c:v>60.91</c:v>
                </c:pt>
                <c:pt idx="2">
                  <c:v>60.55</c:v>
                </c:pt>
                <c:pt idx="3">
                  <c:v>60.37</c:v>
                </c:pt>
                <c:pt idx="4">
                  <c:v>59.94</c:v>
                </c:pt>
                <c:pt idx="5">
                  <c:v>61.37</c:v>
                </c:pt>
                <c:pt idx="6">
                  <c:v>60.78</c:v>
                </c:pt>
                <c:pt idx="7">
                  <c:v>60.59</c:v>
                </c:pt>
                <c:pt idx="8">
                  <c:v>61.02</c:v>
                </c:pt>
                <c:pt idx="9">
                  <c:v>59.23</c:v>
                </c:pt>
                <c:pt idx="10">
                  <c:v>61.54</c:v>
                </c:pt>
                <c:pt idx="11">
                  <c:v>63.19</c:v>
                </c:pt>
                <c:pt idx="12">
                  <c:v>63.09</c:v>
                </c:pt>
                <c:pt idx="13">
                  <c:v>62.89</c:v>
                </c:pt>
                <c:pt idx="14">
                  <c:v>62.76</c:v>
                </c:pt>
                <c:pt idx="15">
                  <c:v>63.06</c:v>
                </c:pt>
                <c:pt idx="16">
                  <c:v>62.22</c:v>
                </c:pt>
                <c:pt idx="17">
                  <c:v>61.82</c:v>
                </c:pt>
                <c:pt idx="18">
                  <c:v>61.44</c:v>
                </c:pt>
                <c:pt idx="19">
                  <c:v>62.73</c:v>
                </c:pt>
                <c:pt idx="20">
                  <c:v>61.72</c:v>
                </c:pt>
                <c:pt idx="21">
                  <c:v>61.37</c:v>
                </c:pt>
                <c:pt idx="22">
                  <c:v>62.48</c:v>
                </c:pt>
                <c:pt idx="23">
                  <c:v>62.6</c:v>
                </c:pt>
                <c:pt idx="24">
                  <c:v>62.72</c:v>
                </c:pt>
                <c:pt idx="25">
                  <c:v>62.7</c:v>
                </c:pt>
                <c:pt idx="26">
                  <c:v>63.01</c:v>
                </c:pt>
                <c:pt idx="27">
                  <c:v>62.67</c:v>
                </c:pt>
                <c:pt idx="28">
                  <c:v>62.12</c:v>
                </c:pt>
                <c:pt idx="29">
                  <c:v>62.42</c:v>
                </c:pt>
                <c:pt idx="30">
                  <c:v>61.65</c:v>
                </c:pt>
                <c:pt idx="31">
                  <c:v>62.08</c:v>
                </c:pt>
                <c:pt idx="32">
                  <c:v>61.98</c:v>
                </c:pt>
                <c:pt idx="33">
                  <c:v>61.08</c:v>
                </c:pt>
                <c:pt idx="34">
                  <c:v>61.27</c:v>
                </c:pt>
                <c:pt idx="35">
                  <c:v>60.98</c:v>
                </c:pt>
                <c:pt idx="36">
                  <c:v>60.45</c:v>
                </c:pt>
                <c:pt idx="37">
                  <c:v>60.56</c:v>
                </c:pt>
                <c:pt idx="38">
                  <c:v>61.47</c:v>
                </c:pt>
                <c:pt idx="40">
                  <c:v>62.25</c:v>
                </c:pt>
                <c:pt idx="41">
                  <c:v>62.07</c:v>
                </c:pt>
                <c:pt idx="42">
                  <c:v>62.09</c:v>
                </c:pt>
                <c:pt idx="43">
                  <c:v>61.77</c:v>
                </c:pt>
                <c:pt idx="44">
                  <c:v>62.36</c:v>
                </c:pt>
                <c:pt idx="45">
                  <c:v>61.89</c:v>
                </c:pt>
                <c:pt idx="46">
                  <c:v>62.2</c:v>
                </c:pt>
                <c:pt idx="47">
                  <c:v>62.16</c:v>
                </c:pt>
                <c:pt idx="48">
                  <c:v>62.46</c:v>
                </c:pt>
                <c:pt idx="49">
                  <c:v>62.39</c:v>
                </c:pt>
                <c:pt idx="50">
                  <c:v>61.45</c:v>
                </c:pt>
                <c:pt idx="51">
                  <c:v>63.06</c:v>
                </c:pt>
                <c:pt idx="52">
                  <c:v>63.5</c:v>
                </c:pt>
                <c:pt idx="53">
                  <c:v>62.82</c:v>
                </c:pt>
                <c:pt idx="54">
                  <c:v>62.87</c:v>
                </c:pt>
                <c:pt idx="55">
                  <c:v>63.74</c:v>
                </c:pt>
                <c:pt idx="56">
                  <c:v>63.87</c:v>
                </c:pt>
                <c:pt idx="57">
                  <c:v>63.2</c:v>
                </c:pt>
                <c:pt idx="58">
                  <c:v>62.48</c:v>
                </c:pt>
                <c:pt idx="59">
                  <c:v>62.99</c:v>
                </c:pt>
                <c:pt idx="60">
                  <c:v>61.03</c:v>
                </c:pt>
                <c:pt idx="61">
                  <c:v>61.13</c:v>
                </c:pt>
                <c:pt idx="62">
                  <c:v>60.94</c:v>
                </c:pt>
                <c:pt idx="63">
                  <c:v>60.59</c:v>
                </c:pt>
                <c:pt idx="64">
                  <c:v>60.94</c:v>
                </c:pt>
                <c:pt idx="65">
                  <c:v>62.66</c:v>
                </c:pt>
                <c:pt idx="66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788600"/>
        <c:axId val="725788992"/>
      </c:lineChart>
      <c:dateAx>
        <c:axId val="725788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88992"/>
        <c:crosses val="autoZero"/>
        <c:auto val="1"/>
        <c:lblOffset val="100"/>
        <c:baseTimeUnit val="days"/>
      </c:dateAx>
      <c:valAx>
        <c:axId val="7257889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88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19-Dec-16</c:v>
                </c:pt>
                <c:pt idx="51">
                  <c:v>16-Dec-16</c:v>
                </c:pt>
                <c:pt idx="52">
                  <c:v>15-Dec-16</c:v>
                </c:pt>
                <c:pt idx="53">
                  <c:v>14-Dec-16</c:v>
                </c:pt>
                <c:pt idx="54">
                  <c:v>13-Dec-16</c:v>
                </c:pt>
                <c:pt idx="55">
                  <c:v>12-Dec-16</c:v>
                </c:pt>
                <c:pt idx="56">
                  <c:v>9-Dec-16</c:v>
                </c:pt>
                <c:pt idx="57">
                  <c:v>8-Dec-16</c:v>
                </c:pt>
                <c:pt idx="58">
                  <c:v>7-Dec-16</c:v>
                </c:pt>
                <c:pt idx="59">
                  <c:v>6-Dec-16</c:v>
                </c:pt>
                <c:pt idx="60">
                  <c:v>5-Dec-16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38.229999999999997</c:v>
                </c:pt>
                <c:pt idx="1">
                  <c:v>37.76</c:v>
                </c:pt>
                <c:pt idx="2">
                  <c:v>37.43</c:v>
                </c:pt>
                <c:pt idx="3">
                  <c:v>36.840000000000003</c:v>
                </c:pt>
                <c:pt idx="4">
                  <c:v>37.270000000000003</c:v>
                </c:pt>
                <c:pt idx="5">
                  <c:v>36.9</c:v>
                </c:pt>
                <c:pt idx="6">
                  <c:v>37.25</c:v>
                </c:pt>
                <c:pt idx="7">
                  <c:v>37.840000000000003</c:v>
                </c:pt>
                <c:pt idx="8">
                  <c:v>37.81</c:v>
                </c:pt>
                <c:pt idx="9">
                  <c:v>37.22</c:v>
                </c:pt>
                <c:pt idx="10">
                  <c:v>37.03</c:v>
                </c:pt>
                <c:pt idx="11">
                  <c:v>37.08</c:v>
                </c:pt>
                <c:pt idx="12">
                  <c:v>37.24</c:v>
                </c:pt>
                <c:pt idx="13">
                  <c:v>35.520000000000003</c:v>
                </c:pt>
                <c:pt idx="14">
                  <c:v>35.17</c:v>
                </c:pt>
                <c:pt idx="15">
                  <c:v>35.08</c:v>
                </c:pt>
                <c:pt idx="16">
                  <c:v>35.14</c:v>
                </c:pt>
                <c:pt idx="17">
                  <c:v>35.1</c:v>
                </c:pt>
                <c:pt idx="18">
                  <c:v>36.83</c:v>
                </c:pt>
                <c:pt idx="19">
                  <c:v>36.33</c:v>
                </c:pt>
                <c:pt idx="20">
                  <c:v>35.729999999999997</c:v>
                </c:pt>
                <c:pt idx="21">
                  <c:v>36.14</c:v>
                </c:pt>
                <c:pt idx="22">
                  <c:v>36.61</c:v>
                </c:pt>
                <c:pt idx="23">
                  <c:v>36.33</c:v>
                </c:pt>
                <c:pt idx="24">
                  <c:v>37.01</c:v>
                </c:pt>
                <c:pt idx="25">
                  <c:v>37.520000000000003</c:v>
                </c:pt>
                <c:pt idx="26">
                  <c:v>38.28</c:v>
                </c:pt>
                <c:pt idx="27">
                  <c:v>37</c:v>
                </c:pt>
                <c:pt idx="28">
                  <c:v>36.65</c:v>
                </c:pt>
                <c:pt idx="29">
                  <c:v>37.01</c:v>
                </c:pt>
                <c:pt idx="30">
                  <c:v>37.299999999999997</c:v>
                </c:pt>
                <c:pt idx="31">
                  <c:v>37.47</c:v>
                </c:pt>
                <c:pt idx="32">
                  <c:v>37.31</c:v>
                </c:pt>
                <c:pt idx="33">
                  <c:v>37.340000000000003</c:v>
                </c:pt>
                <c:pt idx="34">
                  <c:v>37.51</c:v>
                </c:pt>
                <c:pt idx="35">
                  <c:v>37.950000000000003</c:v>
                </c:pt>
                <c:pt idx="36">
                  <c:v>37.35</c:v>
                </c:pt>
                <c:pt idx="37">
                  <c:v>36.01</c:v>
                </c:pt>
                <c:pt idx="38">
                  <c:v>35.99</c:v>
                </c:pt>
                <c:pt idx="39">
                  <c:v>36.39</c:v>
                </c:pt>
                <c:pt idx="40">
                  <c:v>37.090000000000003</c:v>
                </c:pt>
                <c:pt idx="41">
                  <c:v>35.15</c:v>
                </c:pt>
                <c:pt idx="42">
                  <c:v>34.840000000000003</c:v>
                </c:pt>
                <c:pt idx="43">
                  <c:v>35.14</c:v>
                </c:pt>
                <c:pt idx="44">
                  <c:v>35.15</c:v>
                </c:pt>
                <c:pt idx="45">
                  <c:v>35.54</c:v>
                </c:pt>
                <c:pt idx="46">
                  <c:v>35.69</c:v>
                </c:pt>
                <c:pt idx="47">
                  <c:v>35.69</c:v>
                </c:pt>
                <c:pt idx="48">
                  <c:v>36.42</c:v>
                </c:pt>
                <c:pt idx="49">
                  <c:v>36.61</c:v>
                </c:pt>
                <c:pt idx="50">
                  <c:v>36.4</c:v>
                </c:pt>
                <c:pt idx="51">
                  <c:v>36.369999999999997</c:v>
                </c:pt>
                <c:pt idx="52">
                  <c:v>36.24</c:v>
                </c:pt>
                <c:pt idx="53">
                  <c:v>35.950000000000003</c:v>
                </c:pt>
                <c:pt idx="54">
                  <c:v>37.36</c:v>
                </c:pt>
                <c:pt idx="55">
                  <c:v>37.1</c:v>
                </c:pt>
                <c:pt idx="56">
                  <c:v>37.659999999999997</c:v>
                </c:pt>
                <c:pt idx="57">
                  <c:v>36.42</c:v>
                </c:pt>
                <c:pt idx="58">
                  <c:v>36.299999999999997</c:v>
                </c:pt>
                <c:pt idx="59">
                  <c:v>35.07</c:v>
                </c:pt>
                <c:pt idx="60">
                  <c:v>34.94</c:v>
                </c:pt>
                <c:pt idx="62">
                  <c:v>35.409999999999997</c:v>
                </c:pt>
                <c:pt idx="63">
                  <c:v>36.43</c:v>
                </c:pt>
                <c:pt idx="64">
                  <c:v>34.53</c:v>
                </c:pt>
                <c:pt idx="65">
                  <c:v>34.57</c:v>
                </c:pt>
                <c:pt idx="66">
                  <c:v>34.049999999999997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790952"/>
        <c:axId val="725791344"/>
      </c:lineChart>
      <c:catAx>
        <c:axId val="725790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91344"/>
        <c:crosses val="autoZero"/>
        <c:auto val="1"/>
        <c:lblAlgn val="ctr"/>
        <c:lblOffset val="100"/>
        <c:noMultiLvlLbl val="0"/>
      </c:catAx>
      <c:valAx>
        <c:axId val="72579134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90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8-Mar-17</c:v>
                </c:pt>
                <c:pt idx="1">
                  <c:v>7-Mar-17</c:v>
                </c:pt>
                <c:pt idx="2">
                  <c:v>6-Mar-17</c:v>
                </c:pt>
                <c:pt idx="3">
                  <c:v>3-Mar-17</c:v>
                </c:pt>
                <c:pt idx="4">
                  <c:v>2-Mar-17</c:v>
                </c:pt>
                <c:pt idx="5">
                  <c:v>1-Mar-17</c:v>
                </c:pt>
                <c:pt idx="6">
                  <c:v>28-Feb-17</c:v>
                </c:pt>
                <c:pt idx="7">
                  <c:v>27-Feb-17</c:v>
                </c:pt>
                <c:pt idx="8">
                  <c:v>24-Feb-17</c:v>
                </c:pt>
                <c:pt idx="9">
                  <c:v>23-Feb-17</c:v>
                </c:pt>
                <c:pt idx="10">
                  <c:v>22-Feb-17</c:v>
                </c:pt>
                <c:pt idx="11">
                  <c:v>21-Feb-17</c:v>
                </c:pt>
                <c:pt idx="12">
                  <c:v>17-Feb-17</c:v>
                </c:pt>
                <c:pt idx="13">
                  <c:v>16-Feb-17</c:v>
                </c:pt>
                <c:pt idx="14">
                  <c:v>15-Feb-17</c:v>
                </c:pt>
                <c:pt idx="15">
                  <c:v>14-Feb-17</c:v>
                </c:pt>
                <c:pt idx="16">
                  <c:v>13-Feb-17</c:v>
                </c:pt>
                <c:pt idx="17">
                  <c:v>10-Feb-17</c:v>
                </c:pt>
                <c:pt idx="18">
                  <c:v>9-Feb-17</c:v>
                </c:pt>
                <c:pt idx="19">
                  <c:v>8-Feb-17</c:v>
                </c:pt>
                <c:pt idx="20">
                  <c:v>7-Feb-17</c:v>
                </c:pt>
                <c:pt idx="21">
                  <c:v>6-Feb-17</c:v>
                </c:pt>
                <c:pt idx="22">
                  <c:v>3-Feb-17</c:v>
                </c:pt>
                <c:pt idx="23">
                  <c:v>2-Feb-17</c:v>
                </c:pt>
                <c:pt idx="24">
                  <c:v>1-Feb-17</c:v>
                </c:pt>
                <c:pt idx="25">
                  <c:v>31-Jan-17</c:v>
                </c:pt>
                <c:pt idx="26">
                  <c:v>30-Jan-17</c:v>
                </c:pt>
                <c:pt idx="27">
                  <c:v>27-Jan-17</c:v>
                </c:pt>
                <c:pt idx="28">
                  <c:v>26-Jan-17</c:v>
                </c:pt>
                <c:pt idx="29">
                  <c:v>25-Jan-17</c:v>
                </c:pt>
                <c:pt idx="30">
                  <c:v>24-Jan-17</c:v>
                </c:pt>
                <c:pt idx="31">
                  <c:v>23-Jan-17</c:v>
                </c:pt>
                <c:pt idx="32">
                  <c:v>20-Jan-17</c:v>
                </c:pt>
                <c:pt idx="33">
                  <c:v>19-Jan-17</c:v>
                </c:pt>
                <c:pt idx="34">
                  <c:v>18-Jan-17</c:v>
                </c:pt>
                <c:pt idx="35">
                  <c:v>17-Jan-17</c:v>
                </c:pt>
                <c:pt idx="36">
                  <c:v>13-Jan-17</c:v>
                </c:pt>
                <c:pt idx="37">
                  <c:v>12-Jan-17</c:v>
                </c:pt>
                <c:pt idx="38">
                  <c:v>11-Jan-17</c:v>
                </c:pt>
                <c:pt idx="39">
                  <c:v>10-Jan-17</c:v>
                </c:pt>
                <c:pt idx="40">
                  <c:v>9-Jan-17</c:v>
                </c:pt>
                <c:pt idx="41">
                  <c:v>6-Jan-17</c:v>
                </c:pt>
                <c:pt idx="42">
                  <c:v>5-Jan-17</c:v>
                </c:pt>
                <c:pt idx="43">
                  <c:v>4-Jan-17</c:v>
                </c:pt>
                <c:pt idx="44">
                  <c:v>3-Jan-17</c:v>
                </c:pt>
                <c:pt idx="45">
                  <c:v>30-Dec-16</c:v>
                </c:pt>
                <c:pt idx="46">
                  <c:v>29-Dec-16</c:v>
                </c:pt>
                <c:pt idx="47">
                  <c:v>28-Dec-16</c:v>
                </c:pt>
                <c:pt idx="48">
                  <c:v>27-Dec-16</c:v>
                </c:pt>
                <c:pt idx="49">
                  <c:v>23-Dec-16</c:v>
                </c:pt>
                <c:pt idx="50">
                  <c:v>22-Dec-16</c:v>
                </c:pt>
                <c:pt idx="51">
                  <c:v>21-Dec-16</c:v>
                </c:pt>
                <c:pt idx="52">
                  <c:v>20-Dec-16</c:v>
                </c:pt>
                <c:pt idx="53">
                  <c:v>19-Dec-16</c:v>
                </c:pt>
                <c:pt idx="54">
                  <c:v>16-Dec-16</c:v>
                </c:pt>
                <c:pt idx="55">
                  <c:v>15-Dec-16</c:v>
                </c:pt>
                <c:pt idx="56">
                  <c:v>14-Dec-16</c:v>
                </c:pt>
                <c:pt idx="57">
                  <c:v>13-Dec-16</c:v>
                </c:pt>
                <c:pt idx="58">
                  <c:v>13-Dec-16</c:v>
                </c:pt>
                <c:pt idx="59">
                  <c:v>12-Dec-16</c:v>
                </c:pt>
                <c:pt idx="60">
                  <c:v>9-Dec-16</c:v>
                </c:pt>
                <c:pt idx="61">
                  <c:v>8-Dec-16</c:v>
                </c:pt>
                <c:pt idx="62">
                  <c:v>7-Dec-16</c:v>
                </c:pt>
                <c:pt idx="63">
                  <c:v>6-Dec-16</c:v>
                </c:pt>
                <c:pt idx="64">
                  <c:v>5-Dec-16</c:v>
                </c:pt>
                <c:pt idx="65">
                  <c:v>2-Dec-16</c:v>
                </c:pt>
                <c:pt idx="66">
                  <c:v>1-Dec-16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157.5</c:v>
                </c:pt>
                <c:pt idx="1">
                  <c:v>157.26</c:v>
                </c:pt>
                <c:pt idx="2">
                  <c:v>157.71</c:v>
                </c:pt>
                <c:pt idx="3">
                  <c:v>160.16</c:v>
                </c:pt>
                <c:pt idx="4">
                  <c:v>159.19999999999999</c:v>
                </c:pt>
                <c:pt idx="5">
                  <c:v>159.82</c:v>
                </c:pt>
                <c:pt idx="6">
                  <c:v>157.68</c:v>
                </c:pt>
                <c:pt idx="7">
                  <c:v>158.47999999999999</c:v>
                </c:pt>
                <c:pt idx="8">
                  <c:v>158.97999999999999</c:v>
                </c:pt>
                <c:pt idx="9">
                  <c:v>158.72999999999999</c:v>
                </c:pt>
                <c:pt idx="10">
                  <c:v>158.02000000000001</c:v>
                </c:pt>
                <c:pt idx="11">
                  <c:v>158.63</c:v>
                </c:pt>
                <c:pt idx="12">
                  <c:v>158.63999999999999</c:v>
                </c:pt>
                <c:pt idx="13">
                  <c:v>157.71</c:v>
                </c:pt>
                <c:pt idx="14">
                  <c:v>158.26</c:v>
                </c:pt>
                <c:pt idx="15">
                  <c:v>157.28</c:v>
                </c:pt>
                <c:pt idx="16">
                  <c:v>156.35</c:v>
                </c:pt>
                <c:pt idx="17">
                  <c:v>154.88999999999999</c:v>
                </c:pt>
                <c:pt idx="18">
                  <c:v>154.74</c:v>
                </c:pt>
                <c:pt idx="19">
                  <c:v>153.5</c:v>
                </c:pt>
                <c:pt idx="20">
                  <c:v>153.01</c:v>
                </c:pt>
                <c:pt idx="21">
                  <c:v>152.08000000000001</c:v>
                </c:pt>
                <c:pt idx="22">
                  <c:v>151.43</c:v>
                </c:pt>
                <c:pt idx="23">
                  <c:v>151.66999999999999</c:v>
                </c:pt>
                <c:pt idx="24">
                  <c:v>152.94</c:v>
                </c:pt>
                <c:pt idx="25">
                  <c:v>152.38999999999999</c:v>
                </c:pt>
                <c:pt idx="26">
                  <c:v>143.29</c:v>
                </c:pt>
                <c:pt idx="27">
                  <c:v>145.44999999999999</c:v>
                </c:pt>
                <c:pt idx="28">
                  <c:v>143.1</c:v>
                </c:pt>
                <c:pt idx="29">
                  <c:v>142.43</c:v>
                </c:pt>
                <c:pt idx="30">
                  <c:v>140.97999999999999</c:v>
                </c:pt>
                <c:pt idx="31">
                  <c:v>142.79</c:v>
                </c:pt>
                <c:pt idx="32">
                  <c:v>143.51</c:v>
                </c:pt>
                <c:pt idx="33">
                  <c:v>144.32</c:v>
                </c:pt>
                <c:pt idx="34">
                  <c:v>144.66</c:v>
                </c:pt>
                <c:pt idx="35">
                  <c:v>145.05000000000001</c:v>
                </c:pt>
                <c:pt idx="36">
                  <c:v>146.29</c:v>
                </c:pt>
                <c:pt idx="37">
                  <c:v>145.97</c:v>
                </c:pt>
                <c:pt idx="38">
                  <c:v>146.22</c:v>
                </c:pt>
                <c:pt idx="39">
                  <c:v>147.78</c:v>
                </c:pt>
                <c:pt idx="40">
                  <c:v>147.49</c:v>
                </c:pt>
                <c:pt idx="41">
                  <c:v>147.27000000000001</c:v>
                </c:pt>
                <c:pt idx="42">
                  <c:v>145.38</c:v>
                </c:pt>
                <c:pt idx="43">
                  <c:v>145.16</c:v>
                </c:pt>
                <c:pt idx="44">
                  <c:v>143.66999999999999</c:v>
                </c:pt>
                <c:pt idx="45">
                  <c:v>141.1</c:v>
                </c:pt>
                <c:pt idx="46">
                  <c:v>141.47999999999999</c:v>
                </c:pt>
                <c:pt idx="47">
                  <c:v>141.22</c:v>
                </c:pt>
                <c:pt idx="48">
                  <c:v>142.41</c:v>
                </c:pt>
                <c:pt idx="49">
                  <c:v>141.84</c:v>
                </c:pt>
                <c:pt idx="50">
                  <c:v>140.52000000000001</c:v>
                </c:pt>
                <c:pt idx="51">
                  <c:v>140.77000000000001</c:v>
                </c:pt>
                <c:pt idx="52">
                  <c:v>141.80000000000001</c:v>
                </c:pt>
                <c:pt idx="53">
                  <c:v>141.25</c:v>
                </c:pt>
                <c:pt idx="54">
                  <c:v>142.54</c:v>
                </c:pt>
                <c:pt idx="55">
                  <c:v>143.5</c:v>
                </c:pt>
                <c:pt idx="56">
                  <c:v>143.80000000000001</c:v>
                </c:pt>
                <c:pt idx="57">
                  <c:v>145.9</c:v>
                </c:pt>
                <c:pt idx="59">
                  <c:v>145.18</c:v>
                </c:pt>
                <c:pt idx="60">
                  <c:v>145.41</c:v>
                </c:pt>
                <c:pt idx="61">
                  <c:v>143.07</c:v>
                </c:pt>
                <c:pt idx="62">
                  <c:v>141.85</c:v>
                </c:pt>
                <c:pt idx="63">
                  <c:v>143.59</c:v>
                </c:pt>
                <c:pt idx="64">
                  <c:v>141.38</c:v>
                </c:pt>
                <c:pt idx="65">
                  <c:v>141.91</c:v>
                </c:pt>
                <c:pt idx="66">
                  <c:v>139.63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723856"/>
        <c:axId val="728724248"/>
      </c:lineChart>
      <c:catAx>
        <c:axId val="728723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24248"/>
        <c:crosses val="autoZero"/>
        <c:auto val="1"/>
        <c:lblAlgn val="ctr"/>
        <c:lblOffset val="100"/>
        <c:noMultiLvlLbl val="0"/>
      </c:catAx>
      <c:valAx>
        <c:axId val="7287242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23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17-Feb-17</c:v>
                </c:pt>
                <c:pt idx="11">
                  <c:v>16-Feb-17</c:v>
                </c:pt>
                <c:pt idx="12">
                  <c:v>15-Feb-17</c:v>
                </c:pt>
                <c:pt idx="13">
                  <c:v>14-Feb-17</c:v>
                </c:pt>
                <c:pt idx="14">
                  <c:v>13-Feb-17</c:v>
                </c:pt>
                <c:pt idx="15">
                  <c:v>10-Feb-17</c:v>
                </c:pt>
                <c:pt idx="16">
                  <c:v>9-Feb-17</c:v>
                </c:pt>
                <c:pt idx="17">
                  <c:v>8-Feb-17</c:v>
                </c:pt>
                <c:pt idx="18">
                  <c:v>7-Feb-17</c:v>
                </c:pt>
                <c:pt idx="19">
                  <c:v>6-Feb-17</c:v>
                </c:pt>
                <c:pt idx="20">
                  <c:v>3-Feb-17</c:v>
                </c:pt>
                <c:pt idx="21">
                  <c:v>2-Feb-17</c:v>
                </c:pt>
                <c:pt idx="22">
                  <c:v>1-Feb-17</c:v>
                </c:pt>
                <c:pt idx="23">
                  <c:v>31-Jan-17</c:v>
                </c:pt>
                <c:pt idx="24">
                  <c:v>30-Jan-17</c:v>
                </c:pt>
                <c:pt idx="25">
                  <c:v>27-Jan-17</c:v>
                </c:pt>
                <c:pt idx="26">
                  <c:v>26-Jan-17</c:v>
                </c:pt>
                <c:pt idx="27">
                  <c:v>25-Jan-17</c:v>
                </c:pt>
                <c:pt idx="28">
                  <c:v>24-Jan-17</c:v>
                </c:pt>
                <c:pt idx="29">
                  <c:v>23-Jan-17</c:v>
                </c:pt>
                <c:pt idx="30">
                  <c:v>20-Jan-17</c:v>
                </c:pt>
                <c:pt idx="31">
                  <c:v>19-Jan-17</c:v>
                </c:pt>
                <c:pt idx="32">
                  <c:v>18-Jan-17</c:v>
                </c:pt>
                <c:pt idx="33">
                  <c:v>17-Jan-17</c:v>
                </c:pt>
                <c:pt idx="34">
                  <c:v>13-Jan-17</c:v>
                </c:pt>
                <c:pt idx="35">
                  <c:v>12-Jan-17</c:v>
                </c:pt>
                <c:pt idx="36">
                  <c:v>11-Jan-17</c:v>
                </c:pt>
                <c:pt idx="37">
                  <c:v>10-Jan-17</c:v>
                </c:pt>
                <c:pt idx="38">
                  <c:v>9-Jan-17</c:v>
                </c:pt>
                <c:pt idx="39">
                  <c:v>6-Jan-17</c:v>
                </c:pt>
                <c:pt idx="40">
                  <c:v>5-Jan-17</c:v>
                </c:pt>
                <c:pt idx="41">
                  <c:v>4-Jan-17</c:v>
                </c:pt>
                <c:pt idx="42">
                  <c:v>3-Jan-17</c:v>
                </c:pt>
                <c:pt idx="43">
                  <c:v>30-Dec-16</c:v>
                </c:pt>
                <c:pt idx="44">
                  <c:v>29-Dec-16</c:v>
                </c:pt>
                <c:pt idx="45">
                  <c:v>28-Dec-16</c:v>
                </c:pt>
                <c:pt idx="46">
                  <c:v>27-Dec-16</c:v>
                </c:pt>
                <c:pt idx="47">
                  <c:v>23-Dec-16</c:v>
                </c:pt>
                <c:pt idx="48">
                  <c:v>22-Dec-16</c:v>
                </c:pt>
                <c:pt idx="49">
                  <c:v>21-Dec-16</c:v>
                </c:pt>
                <c:pt idx="50">
                  <c:v>20-Dec-16</c:v>
                </c:pt>
                <c:pt idx="51">
                  <c:v>19-Dec-16</c:v>
                </c:pt>
                <c:pt idx="52">
                  <c:v>16-Dec-16</c:v>
                </c:pt>
                <c:pt idx="53">
                  <c:v>15-Dec-16</c:v>
                </c:pt>
                <c:pt idx="54">
                  <c:v>14-Dec-16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45</c:v>
                </c:pt>
                <c:pt idx="1">
                  <c:v>44.45</c:v>
                </c:pt>
                <c:pt idx="2">
                  <c:v>45.5</c:v>
                </c:pt>
                <c:pt idx="3">
                  <c:v>44.2</c:v>
                </c:pt>
                <c:pt idx="4">
                  <c:v>44.6</c:v>
                </c:pt>
                <c:pt idx="5">
                  <c:v>43.05</c:v>
                </c:pt>
                <c:pt idx="6">
                  <c:v>43.05</c:v>
                </c:pt>
                <c:pt idx="7">
                  <c:v>44.15</c:v>
                </c:pt>
                <c:pt idx="8">
                  <c:v>44.75</c:v>
                </c:pt>
                <c:pt idx="9">
                  <c:v>44.5</c:v>
                </c:pt>
                <c:pt idx="11">
                  <c:v>44.55</c:v>
                </c:pt>
                <c:pt idx="12">
                  <c:v>44.95</c:v>
                </c:pt>
                <c:pt idx="13">
                  <c:v>45.35</c:v>
                </c:pt>
                <c:pt idx="14">
                  <c:v>45.55</c:v>
                </c:pt>
                <c:pt idx="15">
                  <c:v>45.15</c:v>
                </c:pt>
                <c:pt idx="16">
                  <c:v>44.3</c:v>
                </c:pt>
                <c:pt idx="17">
                  <c:v>44</c:v>
                </c:pt>
                <c:pt idx="18">
                  <c:v>44.5</c:v>
                </c:pt>
                <c:pt idx="19">
                  <c:v>44.75</c:v>
                </c:pt>
                <c:pt idx="20">
                  <c:v>44.6</c:v>
                </c:pt>
                <c:pt idx="21">
                  <c:v>44.2</c:v>
                </c:pt>
                <c:pt idx="22">
                  <c:v>44.75</c:v>
                </c:pt>
                <c:pt idx="23">
                  <c:v>44.4</c:v>
                </c:pt>
                <c:pt idx="24">
                  <c:v>44.75</c:v>
                </c:pt>
                <c:pt idx="25">
                  <c:v>45.4</c:v>
                </c:pt>
                <c:pt idx="26">
                  <c:v>43.95</c:v>
                </c:pt>
                <c:pt idx="27">
                  <c:v>44.7</c:v>
                </c:pt>
                <c:pt idx="28">
                  <c:v>44.15</c:v>
                </c:pt>
                <c:pt idx="29">
                  <c:v>42.55</c:v>
                </c:pt>
                <c:pt idx="30">
                  <c:v>42.95</c:v>
                </c:pt>
                <c:pt idx="31">
                  <c:v>43.35</c:v>
                </c:pt>
                <c:pt idx="32">
                  <c:v>43.85</c:v>
                </c:pt>
                <c:pt idx="33">
                  <c:v>43.8</c:v>
                </c:pt>
                <c:pt idx="34">
                  <c:v>44.2</c:v>
                </c:pt>
                <c:pt idx="35">
                  <c:v>42.85</c:v>
                </c:pt>
                <c:pt idx="36">
                  <c:v>43.35</c:v>
                </c:pt>
                <c:pt idx="37">
                  <c:v>42.35</c:v>
                </c:pt>
                <c:pt idx="38">
                  <c:v>41.6</c:v>
                </c:pt>
                <c:pt idx="39">
                  <c:v>42.15</c:v>
                </c:pt>
                <c:pt idx="40">
                  <c:v>41.5</c:v>
                </c:pt>
                <c:pt idx="41">
                  <c:v>41.45</c:v>
                </c:pt>
                <c:pt idx="42">
                  <c:v>40.950000000000003</c:v>
                </c:pt>
                <c:pt idx="43">
                  <c:v>39.700000000000003</c:v>
                </c:pt>
                <c:pt idx="44">
                  <c:v>39.950000000000003</c:v>
                </c:pt>
                <c:pt idx="45">
                  <c:v>39.950000000000003</c:v>
                </c:pt>
                <c:pt idx="46">
                  <c:v>40.65</c:v>
                </c:pt>
                <c:pt idx="47">
                  <c:v>40.65</c:v>
                </c:pt>
                <c:pt idx="48">
                  <c:v>40.549999999999997</c:v>
                </c:pt>
                <c:pt idx="49">
                  <c:v>40.75</c:v>
                </c:pt>
                <c:pt idx="50">
                  <c:v>40.950000000000003</c:v>
                </c:pt>
                <c:pt idx="51">
                  <c:v>40.1</c:v>
                </c:pt>
                <c:pt idx="52">
                  <c:v>39.65</c:v>
                </c:pt>
                <c:pt idx="53">
                  <c:v>39.5</c:v>
                </c:pt>
                <c:pt idx="54">
                  <c:v>39.4</c:v>
                </c:pt>
                <c:pt idx="55">
                  <c:v>40.15</c:v>
                </c:pt>
                <c:pt idx="56">
                  <c:v>39.85</c:v>
                </c:pt>
                <c:pt idx="57">
                  <c:v>39.299999999999997</c:v>
                </c:pt>
                <c:pt idx="58">
                  <c:v>40.200000000000003</c:v>
                </c:pt>
                <c:pt idx="59">
                  <c:v>39.950000000000003</c:v>
                </c:pt>
                <c:pt idx="60">
                  <c:v>39.1</c:v>
                </c:pt>
                <c:pt idx="61">
                  <c:v>39.15</c:v>
                </c:pt>
                <c:pt idx="62">
                  <c:v>39.450000000000003</c:v>
                </c:pt>
                <c:pt idx="63">
                  <c:v>39.1</c:v>
                </c:pt>
                <c:pt idx="64">
                  <c:v>39.049999999999997</c:v>
                </c:pt>
                <c:pt idx="65">
                  <c:v>38.65</c:v>
                </c:pt>
                <c:pt idx="66">
                  <c:v>39.200000000000003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726208"/>
        <c:axId val="728726600"/>
      </c:lineChart>
      <c:catAx>
        <c:axId val="728726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26600"/>
        <c:crosses val="autoZero"/>
        <c:auto val="1"/>
        <c:lblAlgn val="ctr"/>
        <c:lblOffset val="100"/>
        <c:noMultiLvlLbl val="0"/>
      </c:catAx>
      <c:valAx>
        <c:axId val="72872660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26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112.34</c:v>
                </c:pt>
                <c:pt idx="1">
                  <c:v>112.69</c:v>
                </c:pt>
                <c:pt idx="2">
                  <c:v>113.68</c:v>
                </c:pt>
                <c:pt idx="3">
                  <c:v>112.55</c:v>
                </c:pt>
                <c:pt idx="4">
                  <c:v>112.81</c:v>
                </c:pt>
                <c:pt idx="5">
                  <c:v>112.46</c:v>
                </c:pt>
                <c:pt idx="6">
                  <c:v>112.09</c:v>
                </c:pt>
                <c:pt idx="7">
                  <c:v>112.66</c:v>
                </c:pt>
                <c:pt idx="8">
                  <c:v>112.5</c:v>
                </c:pt>
                <c:pt idx="9">
                  <c:v>112.15</c:v>
                </c:pt>
                <c:pt idx="10">
                  <c:v>112.07</c:v>
                </c:pt>
                <c:pt idx="11">
                  <c:v>111.91</c:v>
                </c:pt>
                <c:pt idx="13">
                  <c:v>111.57</c:v>
                </c:pt>
                <c:pt idx="14">
                  <c:v>112.02</c:v>
                </c:pt>
                <c:pt idx="15">
                  <c:v>111.05</c:v>
                </c:pt>
                <c:pt idx="16">
                  <c:v>110.09</c:v>
                </c:pt>
                <c:pt idx="17">
                  <c:v>110.4</c:v>
                </c:pt>
                <c:pt idx="18">
                  <c:v>111.25</c:v>
                </c:pt>
                <c:pt idx="19">
                  <c:v>110.68</c:v>
                </c:pt>
                <c:pt idx="20">
                  <c:v>109.65</c:v>
                </c:pt>
                <c:pt idx="21">
                  <c:v>108.36</c:v>
                </c:pt>
                <c:pt idx="22">
                  <c:v>108.18</c:v>
                </c:pt>
                <c:pt idx="23">
                  <c:v>109.67</c:v>
                </c:pt>
                <c:pt idx="24">
                  <c:v>109.17</c:v>
                </c:pt>
                <c:pt idx="25">
                  <c:v>109.7</c:v>
                </c:pt>
                <c:pt idx="26">
                  <c:v>110.36</c:v>
                </c:pt>
                <c:pt idx="27">
                  <c:v>110.96</c:v>
                </c:pt>
                <c:pt idx="28">
                  <c:v>111.61</c:v>
                </c:pt>
                <c:pt idx="29">
                  <c:v>110.34</c:v>
                </c:pt>
                <c:pt idx="30">
                  <c:v>110.79</c:v>
                </c:pt>
                <c:pt idx="31">
                  <c:v>110.73</c:v>
                </c:pt>
                <c:pt idx="32">
                  <c:v>110.42</c:v>
                </c:pt>
                <c:pt idx="33">
                  <c:v>109.97</c:v>
                </c:pt>
                <c:pt idx="34">
                  <c:v>110.22</c:v>
                </c:pt>
                <c:pt idx="35">
                  <c:v>110.82</c:v>
                </c:pt>
                <c:pt idx="36">
                  <c:v>111</c:v>
                </c:pt>
                <c:pt idx="37">
                  <c:v>111.26</c:v>
                </c:pt>
                <c:pt idx="38">
                  <c:v>111.5</c:v>
                </c:pt>
                <c:pt idx="39">
                  <c:v>112.55</c:v>
                </c:pt>
                <c:pt idx="40">
                  <c:v>111.35</c:v>
                </c:pt>
                <c:pt idx="41">
                  <c:v>110.9</c:v>
                </c:pt>
                <c:pt idx="42">
                  <c:v>110.83</c:v>
                </c:pt>
                <c:pt idx="43">
                  <c:v>109.62</c:v>
                </c:pt>
                <c:pt idx="44">
                  <c:v>110.55</c:v>
                </c:pt>
                <c:pt idx="45">
                  <c:v>110.19</c:v>
                </c:pt>
                <c:pt idx="46">
                  <c:v>110.98</c:v>
                </c:pt>
                <c:pt idx="47">
                  <c:v>110.65</c:v>
                </c:pt>
                <c:pt idx="48">
                  <c:v>110.46</c:v>
                </c:pt>
                <c:pt idx="49">
                  <c:v>110.49</c:v>
                </c:pt>
                <c:pt idx="50">
                  <c:v>110.65</c:v>
                </c:pt>
                <c:pt idx="51">
                  <c:v>110.82</c:v>
                </c:pt>
                <c:pt idx="52">
                  <c:v>108.52</c:v>
                </c:pt>
                <c:pt idx="53">
                  <c:v>108.13</c:v>
                </c:pt>
                <c:pt idx="54">
                  <c:v>109.27</c:v>
                </c:pt>
                <c:pt idx="55">
                  <c:v>110.31</c:v>
                </c:pt>
                <c:pt idx="56">
                  <c:v>110.39</c:v>
                </c:pt>
                <c:pt idx="57">
                  <c:v>109.79</c:v>
                </c:pt>
                <c:pt idx="58">
                  <c:v>108.43</c:v>
                </c:pt>
                <c:pt idx="59">
                  <c:v>109.68</c:v>
                </c:pt>
                <c:pt idx="60">
                  <c:v>107.43</c:v>
                </c:pt>
                <c:pt idx="61">
                  <c:v>107.42</c:v>
                </c:pt>
                <c:pt idx="62">
                  <c:v>108.22</c:v>
                </c:pt>
                <c:pt idx="63">
                  <c:v>107.48</c:v>
                </c:pt>
                <c:pt idx="64">
                  <c:v>107.72</c:v>
                </c:pt>
                <c:pt idx="65">
                  <c:v>108.84</c:v>
                </c:pt>
                <c:pt idx="66">
                  <c:v>108.45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728560"/>
        <c:axId val="728728952"/>
      </c:lineChart>
      <c:dateAx>
        <c:axId val="7287285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28952"/>
        <c:crosses val="autoZero"/>
        <c:auto val="1"/>
        <c:lblOffset val="100"/>
        <c:baseTimeUnit val="days"/>
      </c:dateAx>
      <c:valAx>
        <c:axId val="72872895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2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168.2</c:v>
                </c:pt>
                <c:pt idx="1">
                  <c:v>167.31</c:v>
                </c:pt>
                <c:pt idx="2">
                  <c:v>167.94</c:v>
                </c:pt>
                <c:pt idx="3">
                  <c:v>165.38</c:v>
                </c:pt>
                <c:pt idx="4">
                  <c:v>165.38</c:v>
                </c:pt>
                <c:pt idx="5">
                  <c:v>163.06</c:v>
                </c:pt>
                <c:pt idx="6">
                  <c:v>162.6</c:v>
                </c:pt>
                <c:pt idx="7">
                  <c:v>160.57</c:v>
                </c:pt>
                <c:pt idx="8">
                  <c:v>160.57</c:v>
                </c:pt>
                <c:pt idx="9">
                  <c:v>157.62</c:v>
                </c:pt>
                <c:pt idx="10">
                  <c:v>163.65</c:v>
                </c:pt>
                <c:pt idx="11">
                  <c:v>164.29</c:v>
                </c:pt>
                <c:pt idx="12">
                  <c:v>163.13</c:v>
                </c:pt>
                <c:pt idx="13">
                  <c:v>161.99</c:v>
                </c:pt>
                <c:pt idx="14">
                  <c:v>160.75</c:v>
                </c:pt>
                <c:pt idx="15">
                  <c:v>160.44</c:v>
                </c:pt>
                <c:pt idx="16">
                  <c:v>160.31</c:v>
                </c:pt>
                <c:pt idx="17">
                  <c:v>160.53</c:v>
                </c:pt>
                <c:pt idx="18">
                  <c:v>160.51</c:v>
                </c:pt>
                <c:pt idx="19">
                  <c:v>161.87</c:v>
                </c:pt>
                <c:pt idx="20">
                  <c:v>160.76</c:v>
                </c:pt>
                <c:pt idx="21">
                  <c:v>162.71</c:v>
                </c:pt>
                <c:pt idx="22">
                  <c:v>162.1</c:v>
                </c:pt>
                <c:pt idx="23">
                  <c:v>162.09</c:v>
                </c:pt>
                <c:pt idx="24">
                  <c:v>162.99</c:v>
                </c:pt>
                <c:pt idx="25">
                  <c:v>162.75</c:v>
                </c:pt>
                <c:pt idx="26">
                  <c:v>161.24</c:v>
                </c:pt>
                <c:pt idx="27">
                  <c:v>160.43</c:v>
                </c:pt>
                <c:pt idx="28">
                  <c:v>159.07</c:v>
                </c:pt>
                <c:pt idx="29">
                  <c:v>158.66</c:v>
                </c:pt>
                <c:pt idx="30">
                  <c:v>158.69999999999999</c:v>
                </c:pt>
                <c:pt idx="31">
                  <c:v>157.74</c:v>
                </c:pt>
                <c:pt idx="32">
                  <c:v>160.66</c:v>
                </c:pt>
                <c:pt idx="33">
                  <c:v>161.80000000000001</c:v>
                </c:pt>
                <c:pt idx="34">
                  <c:v>162.36000000000001</c:v>
                </c:pt>
                <c:pt idx="35">
                  <c:v>161.88999999999999</c:v>
                </c:pt>
                <c:pt idx="36">
                  <c:v>161.58000000000001</c:v>
                </c:pt>
                <c:pt idx="37">
                  <c:v>161.94999999999999</c:v>
                </c:pt>
                <c:pt idx="38">
                  <c:v>162.41</c:v>
                </c:pt>
                <c:pt idx="39">
                  <c:v>162.18</c:v>
                </c:pt>
                <c:pt idx="40">
                  <c:v>161.91</c:v>
                </c:pt>
                <c:pt idx="41">
                  <c:v>161.44999999999999</c:v>
                </c:pt>
                <c:pt idx="42">
                  <c:v>160.04</c:v>
                </c:pt>
                <c:pt idx="43">
                  <c:v>161.04</c:v>
                </c:pt>
                <c:pt idx="44">
                  <c:v>161.44</c:v>
                </c:pt>
                <c:pt idx="45">
                  <c:v>162.63999999999999</c:v>
                </c:pt>
                <c:pt idx="46">
                  <c:v>163.03</c:v>
                </c:pt>
                <c:pt idx="47">
                  <c:v>161.58000000000001</c:v>
                </c:pt>
                <c:pt idx="48">
                  <c:v>161.33000000000001</c:v>
                </c:pt>
                <c:pt idx="49">
                  <c:v>161.59</c:v>
                </c:pt>
                <c:pt idx="50">
                  <c:v>161.54</c:v>
                </c:pt>
                <c:pt idx="51">
                  <c:v>163.94</c:v>
                </c:pt>
                <c:pt idx="52">
                  <c:v>160.62</c:v>
                </c:pt>
                <c:pt idx="53">
                  <c:v>159.86000000000001</c:v>
                </c:pt>
                <c:pt idx="54">
                  <c:v>160.54</c:v>
                </c:pt>
                <c:pt idx="55">
                  <c:v>159.49</c:v>
                </c:pt>
                <c:pt idx="56">
                  <c:v>160.12</c:v>
                </c:pt>
                <c:pt idx="57">
                  <c:v>159.32</c:v>
                </c:pt>
                <c:pt idx="58">
                  <c:v>159.4</c:v>
                </c:pt>
                <c:pt idx="59">
                  <c:v>157.32</c:v>
                </c:pt>
                <c:pt idx="60">
                  <c:v>157.63</c:v>
                </c:pt>
                <c:pt idx="61">
                  <c:v>160.72999999999999</c:v>
                </c:pt>
                <c:pt idx="62">
                  <c:v>160.94</c:v>
                </c:pt>
                <c:pt idx="63">
                  <c:v>158.32</c:v>
                </c:pt>
                <c:pt idx="65">
                  <c:v>157.59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730912"/>
        <c:axId val="728731304"/>
      </c:lineChart>
      <c:dateAx>
        <c:axId val="7287309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31304"/>
        <c:crosses val="autoZero"/>
        <c:auto val="1"/>
        <c:lblOffset val="100"/>
        <c:baseTimeUnit val="days"/>
      </c:dateAx>
      <c:valAx>
        <c:axId val="72873130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30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0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</xdr:colOff>
      <xdr:row>35</xdr:row>
      <xdr:rowOff>85724</xdr:rowOff>
    </xdr:from>
    <xdr:to>
      <xdr:col>22</xdr:col>
      <xdr:colOff>495300</xdr:colOff>
      <xdr:row>53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9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10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10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10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AOBC+Historical+Prices" backgroundRefresh="0" adjustColumnWidth="0" connectionId="11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backgroundRefresh="0" connectionId="9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ro" backgroundRefresh="0" connectionId="10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1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9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vgk" backgroundRefresh="0" adjustColumnWidth="0" connectionId="8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9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9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10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clh" backgroundRefresh="0" adjustColumnWidth="0" connectionId="10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clh" backgroundRefresh="0" connectionId="10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1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1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4.xml"/><Relationship Id="rId2" Type="http://schemas.openxmlformats.org/officeDocument/2006/relationships/queryTable" Target="../queryTables/queryTable113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2" activePane="bottomLeft" state="frozen"/>
      <selection pane="bottomLeft" activeCell="R11" sqref="R11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7" bestFit="1" customWidth="1"/>
    <col min="7" max="7" width="10.7109375" style="247" bestFit="1" customWidth="1"/>
    <col min="8" max="8" width="12.140625" style="50" customWidth="1"/>
    <col min="9" max="9" width="10.7109375" style="49" bestFit="1" customWidth="1"/>
    <col min="10" max="10" width="14.140625" style="374" bestFit="1" customWidth="1"/>
    <col min="11" max="11" width="14.140625" style="137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9" customWidth="1"/>
    <col min="16" max="16" width="12.85546875" style="359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6" t="s">
        <v>143</v>
      </c>
      <c r="G1" s="246" t="s">
        <v>73</v>
      </c>
      <c r="H1" s="57" t="s">
        <v>57</v>
      </c>
      <c r="I1" s="58" t="s">
        <v>74</v>
      </c>
      <c r="J1" s="372" t="s">
        <v>183</v>
      </c>
      <c r="K1" s="358" t="s">
        <v>211</v>
      </c>
      <c r="L1" s="58" t="s">
        <v>181</v>
      </c>
      <c r="M1" s="58" t="s">
        <v>236</v>
      </c>
      <c r="N1" s="58" t="s">
        <v>92</v>
      </c>
      <c r="O1" s="358" t="s">
        <v>210</v>
      </c>
      <c r="P1" s="358" t="s">
        <v>291</v>
      </c>
    </row>
    <row r="2" spans="1:20" ht="21.95" customHeight="1" x14ac:dyDescent="0.25">
      <c r="A2" s="51"/>
      <c r="B2" s="51"/>
      <c r="C2" s="52"/>
      <c r="E2" s="23" t="s">
        <v>50</v>
      </c>
      <c r="F2" s="247">
        <v>16.16</v>
      </c>
      <c r="G2" s="247">
        <v>16.502636666666664</v>
      </c>
      <c r="H2" s="335">
        <v>6000</v>
      </c>
      <c r="I2" s="49">
        <v>99015.819999999978</v>
      </c>
      <c r="J2" s="373">
        <v>-2055.8199999999924</v>
      </c>
      <c r="K2" s="359">
        <v>-2.0762540773787291E-2</v>
      </c>
      <c r="L2" s="373">
        <v>12559.751000001634</v>
      </c>
      <c r="M2">
        <v>4200</v>
      </c>
      <c r="N2" s="370" t="str">
        <f>HYPERLINK("http://finance.yahoo.com/q?s=" &amp; E2, "Link")</f>
        <v>Link</v>
      </c>
      <c r="O2" s="369">
        <v>1.24E-2</v>
      </c>
      <c r="P2" s="369">
        <v>5.5999999999999999E-3</v>
      </c>
      <c r="Q2" s="151"/>
      <c r="R2" s="49"/>
      <c r="S2" s="49"/>
    </row>
    <row r="3" spans="1:20" ht="21.95" customHeight="1" x14ac:dyDescent="0.25">
      <c r="A3" s="51"/>
      <c r="B3" s="51"/>
      <c r="C3" s="52"/>
      <c r="E3" s="23" t="s">
        <v>17</v>
      </c>
      <c r="F3" s="247">
        <v>11.01</v>
      </c>
      <c r="G3" s="247">
        <v>21.806420000000067</v>
      </c>
      <c r="H3" s="335">
        <v>2500</v>
      </c>
      <c r="I3" s="49">
        <v>54516.05000000017</v>
      </c>
      <c r="J3" s="373">
        <v>-26991.050000000163</v>
      </c>
      <c r="K3" s="359">
        <v>-0.49510281834432401</v>
      </c>
      <c r="L3" s="373">
        <v>-26991.050000000163</v>
      </c>
      <c r="M3">
        <v>1500</v>
      </c>
      <c r="N3" s="370" t="str">
        <f>HYPERLINK("http://finance.yahoo.com/q?s=" &amp; E3, "Link")</f>
        <v>Link</v>
      </c>
      <c r="O3" s="369">
        <v>0</v>
      </c>
      <c r="P3" s="369">
        <v>-6.3E-3</v>
      </c>
    </row>
    <row r="4" spans="1:20" ht="21.95" customHeight="1" x14ac:dyDescent="0.25">
      <c r="A4" s="51"/>
      <c r="B4" s="52"/>
      <c r="C4" s="52"/>
      <c r="E4" s="23" t="s">
        <v>199</v>
      </c>
      <c r="F4" s="247">
        <v>28.82</v>
      </c>
      <c r="G4" s="247">
        <v>31.955100000000002</v>
      </c>
      <c r="H4" s="335">
        <v>1500</v>
      </c>
      <c r="I4" s="49">
        <v>47932.65</v>
      </c>
      <c r="J4" s="373">
        <v>-4702.6500000000015</v>
      </c>
      <c r="K4" s="359">
        <v>-9.8109534941214424E-2</v>
      </c>
      <c r="L4" s="373">
        <v>-2954.6800000000076</v>
      </c>
      <c r="M4">
        <v>400</v>
      </c>
      <c r="N4" s="370" t="str">
        <f>HYPERLINK("http://finance.yahoo.com/q?s=" &amp; E4, "Link")</f>
        <v>Link</v>
      </c>
      <c r="O4" s="369">
        <v>1.5699999999999999E-2</v>
      </c>
      <c r="P4" s="369">
        <v>-2.9999999999999997E-4</v>
      </c>
      <c r="Q4" s="151"/>
      <c r="R4" s="49"/>
    </row>
    <row r="5" spans="1:20" ht="21.95" customHeight="1" x14ac:dyDescent="0.25">
      <c r="A5" s="51"/>
      <c r="B5" s="51"/>
      <c r="C5" s="51"/>
      <c r="E5" s="23" t="s">
        <v>34</v>
      </c>
      <c r="F5" s="247">
        <v>25.18</v>
      </c>
      <c r="G5" s="247">
        <v>22.371360000000003</v>
      </c>
      <c r="H5" s="335">
        <v>1000</v>
      </c>
      <c r="I5" s="49">
        <v>22371.360000000004</v>
      </c>
      <c r="J5" s="373">
        <v>2808.6399999999958</v>
      </c>
      <c r="K5" s="359">
        <v>0.12554623411361654</v>
      </c>
      <c r="L5" s="373">
        <v>15359.036999999993</v>
      </c>
      <c r="M5" s="30">
        <v>42807</v>
      </c>
      <c r="N5" s="370" t="str">
        <f>HYPERLINK("http://finance.yahoo.com/q?s=" &amp; E5, "Link")</f>
        <v>Link</v>
      </c>
      <c r="O5" s="369">
        <v>0</v>
      </c>
      <c r="P5" s="369">
        <v>1.1999999999999999E-3</v>
      </c>
      <c r="S5" s="49"/>
    </row>
    <row r="6" spans="1:20" ht="21.95" customHeight="1" x14ac:dyDescent="0.25">
      <c r="A6" s="51"/>
      <c r="B6" s="51"/>
      <c r="C6" s="52"/>
      <c r="E6" s="23" t="s">
        <v>55</v>
      </c>
      <c r="F6" s="247">
        <v>68.19</v>
      </c>
      <c r="G6" s="247">
        <v>78.683960000000042</v>
      </c>
      <c r="H6" s="335">
        <v>250</v>
      </c>
      <c r="I6" s="49">
        <v>19670.990000000009</v>
      </c>
      <c r="J6" s="373">
        <v>-2623.4900000000052</v>
      </c>
      <c r="K6" s="359">
        <v>-0.13336847814980382</v>
      </c>
      <c r="L6" s="373">
        <v>-2623.4900000000052</v>
      </c>
      <c r="M6">
        <v>200</v>
      </c>
      <c r="N6" s="370" t="str">
        <f>HYPERLINK("http://finance.yahoo.com/q?s=" &amp; E6, "Link")</f>
        <v>Link</v>
      </c>
      <c r="O6" s="369">
        <v>2.9499999999999998E-2</v>
      </c>
      <c r="P6" s="369">
        <v>-2.8999999999999998E-3</v>
      </c>
      <c r="Q6" s="151"/>
      <c r="S6" s="49"/>
    </row>
    <row r="7" spans="1:20" ht="21.95" customHeight="1" x14ac:dyDescent="0.25">
      <c r="A7" s="51"/>
      <c r="B7" s="51"/>
      <c r="C7" s="52"/>
      <c r="E7" s="23" t="s">
        <v>218</v>
      </c>
      <c r="F7" s="247">
        <v>69.81</v>
      </c>
      <c r="G7" s="247">
        <v>72.130800000000022</v>
      </c>
      <c r="H7" s="50">
        <v>175</v>
      </c>
      <c r="I7" s="49">
        <v>12622.890000000003</v>
      </c>
      <c r="J7" s="373">
        <v>-406.14000000000306</v>
      </c>
      <c r="K7" s="359">
        <v>-3.2174882297160423E-2</v>
      </c>
      <c r="L7" s="49">
        <v>269.80999999999767</v>
      </c>
      <c r="M7" s="30">
        <v>42825</v>
      </c>
      <c r="N7" s="370" t="str">
        <f>HYPERLINK("http://finance.yahoo.com/q?s=" &amp; E7, "Link")</f>
        <v>Link</v>
      </c>
      <c r="O7" s="359">
        <v>1.5800000000000002E-2</v>
      </c>
      <c r="P7" s="359">
        <v>-3.0000000000000001E-3</v>
      </c>
      <c r="Q7" s="446"/>
      <c r="S7" s="49"/>
      <c r="T7" s="49"/>
    </row>
    <row r="8" spans="1:20" ht="21.95" customHeight="1" x14ac:dyDescent="0.25">
      <c r="A8" s="51"/>
      <c r="B8" s="51"/>
      <c r="C8" s="52"/>
      <c r="E8" s="23" t="s">
        <v>359</v>
      </c>
      <c r="F8" s="247">
        <v>19.52</v>
      </c>
      <c r="G8" s="247">
        <v>20.322750000000003</v>
      </c>
      <c r="H8" s="335">
        <v>600</v>
      </c>
      <c r="I8" s="49">
        <v>12193.650000000001</v>
      </c>
      <c r="J8" s="373">
        <v>-481.65000000000146</v>
      </c>
      <c r="K8" s="359">
        <v>-3.9500067658166493E-2</v>
      </c>
      <c r="L8" s="373">
        <v>-136.67000000000098</v>
      </c>
      <c r="M8">
        <v>600</v>
      </c>
      <c r="N8" s="370" t="str">
        <f>HYPERLINK("http://finance.yahoo.com/q?s=" &amp; E8, "Link")</f>
        <v>Link</v>
      </c>
      <c r="O8" s="369">
        <v>0</v>
      </c>
      <c r="P8" s="369">
        <v>1.67E-2</v>
      </c>
      <c r="Q8" s="151"/>
      <c r="S8" s="49"/>
    </row>
    <row r="9" spans="1:20" ht="21.95" customHeight="1" x14ac:dyDescent="0.25">
      <c r="A9" s="51"/>
      <c r="B9" s="51"/>
      <c r="C9" s="52"/>
      <c r="E9" s="23" t="s">
        <v>229</v>
      </c>
      <c r="F9" s="247">
        <v>29.42</v>
      </c>
      <c r="G9" s="247">
        <v>33.225999999999999</v>
      </c>
      <c r="H9" s="335">
        <v>250</v>
      </c>
      <c r="I9" s="49">
        <v>8306.5</v>
      </c>
      <c r="J9" s="373">
        <v>-951.5</v>
      </c>
      <c r="K9" s="359">
        <v>-0.11454884728826815</v>
      </c>
      <c r="L9" s="373">
        <v>2358.9699999999957</v>
      </c>
      <c r="M9">
        <v>100</v>
      </c>
      <c r="N9" s="370" t="str">
        <f>HYPERLINK("http://finance.yahoo.com/q?s=" &amp; E9, "Link")</f>
        <v>Link</v>
      </c>
      <c r="O9" s="369">
        <v>3.7999999999999999E-2</v>
      </c>
      <c r="P9" s="369">
        <v>2.7000000000000001E-3</v>
      </c>
      <c r="Q9" s="49"/>
      <c r="R9" s="49"/>
    </row>
    <row r="10" spans="1:20" ht="21.95" customHeight="1" x14ac:dyDescent="0.25">
      <c r="A10" s="52"/>
      <c r="B10" s="52"/>
      <c r="C10" s="52"/>
      <c r="E10" s="23" t="s">
        <v>9</v>
      </c>
      <c r="F10" s="247">
        <v>2.67</v>
      </c>
      <c r="G10" s="247">
        <v>3.2776399999999994</v>
      </c>
      <c r="H10" s="335">
        <v>2000</v>
      </c>
      <c r="I10" s="49">
        <v>6555.2799999999988</v>
      </c>
      <c r="J10" s="373">
        <v>-1215.2799999999988</v>
      </c>
      <c r="K10" s="359">
        <v>-0.18538948755812096</v>
      </c>
      <c r="L10" s="373">
        <v>-780.34999999999854</v>
      </c>
      <c r="M10">
        <v>1300</v>
      </c>
      <c r="N10" s="370" t="str">
        <f>HYPERLINK("http://finance.yahoo.com/q?s=" &amp; E10, "Link")</f>
        <v>Link</v>
      </c>
      <c r="O10" s="369">
        <v>0.14949999999999999</v>
      </c>
      <c r="P10" s="369">
        <v>2.69E-2</v>
      </c>
      <c r="Q10" s="49"/>
      <c r="S10" s="49"/>
    </row>
    <row r="11" spans="1:20" ht="21.95" customHeight="1" x14ac:dyDescent="0.25">
      <c r="A11" s="52"/>
      <c r="B11" s="52"/>
      <c r="C11" s="52"/>
      <c r="E11" s="23" t="s">
        <v>381</v>
      </c>
      <c r="F11" s="247">
        <v>55.36</v>
      </c>
      <c r="G11" s="247">
        <v>60.117499999999993</v>
      </c>
      <c r="H11" s="335">
        <v>80</v>
      </c>
      <c r="I11" s="49">
        <v>4809.3999999999996</v>
      </c>
      <c r="J11" s="373">
        <v>-380.59999999999945</v>
      </c>
      <c r="K11" s="359">
        <v>-7.9136690647481911E-2</v>
      </c>
      <c r="L11" s="373">
        <v>-380.59999999999945</v>
      </c>
      <c r="M11">
        <v>30</v>
      </c>
      <c r="N11" s="370" t="str">
        <f>HYPERLINK("http://finance.yahoo.com/q?s=" &amp; E11, "Link")</f>
        <v>Link</v>
      </c>
      <c r="O11" s="369">
        <v>4.1399999999999999E-2</v>
      </c>
      <c r="P11" s="369">
        <v>2.8999999999999998E-3</v>
      </c>
      <c r="R11" s="49"/>
      <c r="T11" s="49"/>
    </row>
    <row r="12" spans="1:20" ht="21.95" customHeight="1" x14ac:dyDescent="0.25">
      <c r="A12" s="51"/>
      <c r="B12" s="51"/>
      <c r="C12" s="52"/>
      <c r="E12" s="23" t="s">
        <v>287</v>
      </c>
      <c r="F12" s="247">
        <v>80.400000000000006</v>
      </c>
      <c r="G12" s="247">
        <v>79.19133333333339</v>
      </c>
      <c r="H12" s="335">
        <v>60</v>
      </c>
      <c r="I12" s="49">
        <v>4751.4800000000032</v>
      </c>
      <c r="J12" s="373">
        <v>72.519999999996799</v>
      </c>
      <c r="K12" s="359">
        <v>1.5262612912186712E-2</v>
      </c>
      <c r="L12" s="373">
        <v>72.519999999996799</v>
      </c>
      <c r="M12">
        <v>60</v>
      </c>
      <c r="N12" s="370" t="str">
        <f>HYPERLINK("http://finance.yahoo.com/q?s=" &amp; E12, "Link")</f>
        <v>Link</v>
      </c>
      <c r="O12" s="369">
        <v>2.46E-2</v>
      </c>
      <c r="P12" s="369">
        <v>-3.7000000000000002E-3</v>
      </c>
    </row>
    <row r="13" spans="1:20" ht="21.95" customHeight="1" x14ac:dyDescent="0.25">
      <c r="A13" s="52"/>
      <c r="B13" s="52"/>
      <c r="C13" s="52"/>
      <c r="E13" s="23" t="s">
        <v>173</v>
      </c>
      <c r="F13" s="247">
        <v>60.57</v>
      </c>
      <c r="G13" s="247">
        <v>61.913333333333334</v>
      </c>
      <c r="H13" s="50">
        <v>75</v>
      </c>
      <c r="I13" s="49">
        <v>4643.5</v>
      </c>
      <c r="J13" s="373">
        <v>-100.75</v>
      </c>
      <c r="K13" s="359">
        <v>-2.1696995800581462E-2</v>
      </c>
      <c r="L13" s="49">
        <v>-50.800000000000182</v>
      </c>
      <c r="M13">
        <v>50</v>
      </c>
      <c r="N13" s="370" t="str">
        <f>HYPERLINK("http://finance.yahoo.com/q?s=" &amp; E13, "Link")</f>
        <v>Link</v>
      </c>
      <c r="O13" s="359">
        <v>3.15E-2</v>
      </c>
      <c r="P13" s="359">
        <v>-1E-3</v>
      </c>
      <c r="Q13" s="151"/>
      <c r="R13" s="49"/>
      <c r="S13" s="49"/>
      <c r="T13" s="49"/>
    </row>
    <row r="14" spans="1:20" ht="21.95" customHeight="1" x14ac:dyDescent="0.25">
      <c r="A14" s="158"/>
      <c r="B14" s="51"/>
      <c r="C14" s="52"/>
      <c r="E14" s="23" t="s">
        <v>277</v>
      </c>
      <c r="F14" s="247">
        <v>72.89</v>
      </c>
      <c r="G14" s="247">
        <v>72.58</v>
      </c>
      <c r="H14" s="335">
        <v>50</v>
      </c>
      <c r="I14" s="49">
        <v>3629</v>
      </c>
      <c r="J14" s="373">
        <v>15.5</v>
      </c>
      <c r="K14" s="359">
        <v>4.2711490768807146E-3</v>
      </c>
      <c r="L14" s="373">
        <v>173.79999999999927</v>
      </c>
      <c r="M14" s="30">
        <v>42825</v>
      </c>
      <c r="N14" s="370" t="str">
        <f>HYPERLINK("http://finance.yahoo.com/q?s=" &amp; E14, "Link")</f>
        <v>Link</v>
      </c>
      <c r="O14" s="369">
        <v>1.35E-2</v>
      </c>
      <c r="P14" s="369">
        <v>-1.01E-2</v>
      </c>
      <c r="R14" s="49"/>
      <c r="S14" s="49"/>
    </row>
    <row r="15" spans="1:20" ht="21.95" customHeight="1" x14ac:dyDescent="0.25">
      <c r="A15" s="52"/>
      <c r="B15" s="52"/>
      <c r="C15" s="52"/>
      <c r="E15" s="23" t="s">
        <v>232</v>
      </c>
      <c r="F15" s="247">
        <v>29.19</v>
      </c>
      <c r="G15" s="247">
        <v>31.18</v>
      </c>
      <c r="H15" s="335">
        <v>100</v>
      </c>
      <c r="I15" s="49">
        <v>3118</v>
      </c>
      <c r="J15" s="373">
        <v>-199</v>
      </c>
      <c r="K15" s="359">
        <v>-6.3822963438101302E-2</v>
      </c>
      <c r="L15" s="373">
        <v>1253.2599999999984</v>
      </c>
      <c r="M15">
        <v>100</v>
      </c>
      <c r="N15" s="370" t="str">
        <f>HYPERLINK("http://finance.yahoo.com/q?s=" &amp; E15, "Link")</f>
        <v>Link</v>
      </c>
      <c r="O15" s="369">
        <v>1.9699999999999999E-2</v>
      </c>
      <c r="P15" s="369">
        <v>6.6E-3</v>
      </c>
      <c r="S15" s="49"/>
    </row>
    <row r="16" spans="1:20" ht="21.95" customHeight="1" x14ac:dyDescent="0.25">
      <c r="A16" s="51"/>
      <c r="B16" s="51"/>
      <c r="C16" s="52"/>
      <c r="E16" s="23" t="s">
        <v>175</v>
      </c>
      <c r="F16" s="247">
        <v>58.85</v>
      </c>
      <c r="G16" s="247">
        <v>55.121249999999996</v>
      </c>
      <c r="H16" s="335">
        <v>40</v>
      </c>
      <c r="I16" s="49">
        <v>2204.85</v>
      </c>
      <c r="J16" s="373">
        <v>149.15000000000009</v>
      </c>
      <c r="K16" s="359">
        <v>6.7646325146835481E-2</v>
      </c>
      <c r="L16" s="373">
        <v>1244.8800000000033</v>
      </c>
      <c r="M16" s="30">
        <v>42814</v>
      </c>
      <c r="N16" s="370" t="str">
        <f>HYPERLINK("http://finance.yahoo.com/q?s=" &amp; E16, "Link")</f>
        <v>Link</v>
      </c>
      <c r="O16" s="369">
        <v>2.5899999999999999E-2</v>
      </c>
      <c r="P16" s="369">
        <v>2.5999999999999999E-3</v>
      </c>
      <c r="Q16" s="151"/>
      <c r="S16" s="49"/>
      <c r="T16" s="49"/>
    </row>
    <row r="17" spans="1:22" ht="21.95" customHeight="1" x14ac:dyDescent="0.25">
      <c r="A17" s="51"/>
      <c r="B17" s="51"/>
      <c r="C17" s="52"/>
      <c r="E17" s="23" t="s">
        <v>10</v>
      </c>
      <c r="F17" s="247">
        <v>34.53</v>
      </c>
      <c r="G17" s="247">
        <v>34.53</v>
      </c>
      <c r="H17" s="335">
        <v>0</v>
      </c>
      <c r="I17" s="49">
        <v>0</v>
      </c>
      <c r="J17" s="373">
        <v>0</v>
      </c>
      <c r="K17" s="359">
        <v>0</v>
      </c>
      <c r="L17" s="373">
        <v>1128.3800000000047</v>
      </c>
      <c r="M17">
        <v>0</v>
      </c>
      <c r="N17" s="370" t="str">
        <f>HYPERLINK("http://finance.yahoo.com/q?s=" &amp; E17, "Link")</f>
        <v>Link</v>
      </c>
      <c r="O17" s="369">
        <v>1.2500000000000001E-2</v>
      </c>
      <c r="P17" s="369">
        <v>-2.35E-2</v>
      </c>
      <c r="R17" s="49"/>
      <c r="S17" s="49"/>
      <c r="T17" s="49"/>
    </row>
    <row r="18" spans="1:22" ht="21.95" customHeight="1" x14ac:dyDescent="0.25">
      <c r="A18" s="51"/>
      <c r="B18" s="51"/>
      <c r="C18" s="52"/>
      <c r="E18" s="23" t="s">
        <v>206</v>
      </c>
      <c r="F18" s="247">
        <v>139.13999999999999</v>
      </c>
      <c r="G18" s="247">
        <v>139.13999999999999</v>
      </c>
      <c r="H18" s="50">
        <v>0</v>
      </c>
      <c r="I18" s="49">
        <v>0</v>
      </c>
      <c r="J18" s="373">
        <v>0</v>
      </c>
      <c r="K18" s="359">
        <v>0</v>
      </c>
      <c r="L18" s="49">
        <v>363.09999999999945</v>
      </c>
      <c r="M18">
        <v>0</v>
      </c>
      <c r="N18" s="370" t="str">
        <f>HYPERLINK("http://finance.yahoo.com/q?s=" &amp; E18, "Link")</f>
        <v>Link</v>
      </c>
      <c r="O18" s="359">
        <v>1.6400000000000001E-2</v>
      </c>
      <c r="P18" s="359">
        <v>3.3E-3</v>
      </c>
      <c r="Q18" s="446"/>
      <c r="R18" s="49"/>
      <c r="S18" s="49"/>
      <c r="U18" s="49"/>
    </row>
    <row r="19" spans="1:22" ht="21.95" customHeight="1" x14ac:dyDescent="0.25">
      <c r="A19" s="51"/>
      <c r="B19" s="51"/>
      <c r="C19" s="52"/>
      <c r="E19" s="23" t="s">
        <v>257</v>
      </c>
      <c r="F19" s="247">
        <v>64.22</v>
      </c>
      <c r="G19" s="247">
        <v>64.22</v>
      </c>
      <c r="H19" s="50">
        <v>0</v>
      </c>
      <c r="I19" s="49">
        <v>0</v>
      </c>
      <c r="J19" s="373">
        <v>0</v>
      </c>
      <c r="K19" s="359">
        <v>0</v>
      </c>
      <c r="L19" s="49">
        <v>92.650000000000091</v>
      </c>
      <c r="M19">
        <v>0</v>
      </c>
      <c r="N19" s="370" t="str">
        <f>HYPERLINK("http://finance.yahoo.com/q?s=" &amp; E19, "Link")</f>
        <v>Link</v>
      </c>
      <c r="O19" s="359">
        <v>0</v>
      </c>
      <c r="P19" s="359">
        <v>2.9999999999999997E-4</v>
      </c>
      <c r="R19" s="49"/>
      <c r="S19" s="49"/>
    </row>
    <row r="20" spans="1:22" ht="21.95" customHeight="1" x14ac:dyDescent="0.25">
      <c r="A20" s="51"/>
      <c r="B20" s="51"/>
      <c r="C20" s="52"/>
      <c r="E20" s="23" t="s">
        <v>45</v>
      </c>
      <c r="F20" s="247">
        <v>82.05</v>
      </c>
      <c r="G20" s="247">
        <v>82.05</v>
      </c>
      <c r="H20" s="335">
        <v>0</v>
      </c>
      <c r="I20" s="49">
        <v>0</v>
      </c>
      <c r="J20" s="373">
        <v>0</v>
      </c>
      <c r="K20" s="359">
        <v>0</v>
      </c>
      <c r="L20" s="373">
        <v>523.61999999999898</v>
      </c>
      <c r="M20">
        <v>0</v>
      </c>
      <c r="N20" s="370" t="str">
        <f>HYPERLINK("http://finance.yahoo.com/q?s=" &amp; E20, "Link")</f>
        <v>Link</v>
      </c>
      <c r="O20" s="369">
        <v>1.66E-2</v>
      </c>
      <c r="P20" s="369">
        <v>5.8999999999999999E-3</v>
      </c>
    </row>
    <row r="21" spans="1:22" ht="21.95" customHeight="1" x14ac:dyDescent="0.25">
      <c r="A21" s="61"/>
      <c r="B21" s="62"/>
      <c r="C21" s="61"/>
      <c r="E21" s="23" t="s">
        <v>33</v>
      </c>
      <c r="F21" s="247">
        <v>226.35</v>
      </c>
      <c r="G21" s="247">
        <v>226.35</v>
      </c>
      <c r="H21" s="335">
        <v>0</v>
      </c>
      <c r="I21" s="49">
        <v>0</v>
      </c>
      <c r="J21" s="373">
        <v>0</v>
      </c>
      <c r="K21" s="359">
        <v>0</v>
      </c>
      <c r="L21" s="373">
        <v>780.73999999999796</v>
      </c>
      <c r="M21">
        <v>0</v>
      </c>
      <c r="N21" s="370" t="str">
        <f>HYPERLINK("http://finance.yahoo.com/q?s=" &amp; E21, "Link")</f>
        <v>Link</v>
      </c>
      <c r="O21" s="369">
        <v>1.8800000000000001E-2</v>
      </c>
      <c r="P21" s="369">
        <v>1.95E-2</v>
      </c>
      <c r="Q21" s="151"/>
      <c r="R21" s="49"/>
      <c r="S21" s="49"/>
      <c r="T21" s="49"/>
    </row>
    <row r="22" spans="1:22" ht="21.95" customHeight="1" x14ac:dyDescent="0.25">
      <c r="A22" s="51"/>
      <c r="B22" s="51"/>
      <c r="C22" s="52"/>
      <c r="E22" s="23" t="s">
        <v>231</v>
      </c>
      <c r="F22" s="247">
        <v>79.38</v>
      </c>
      <c r="G22" s="247">
        <v>79.38</v>
      </c>
      <c r="H22" s="335">
        <v>0</v>
      </c>
      <c r="I22" s="49">
        <v>0</v>
      </c>
      <c r="J22" s="373">
        <v>0</v>
      </c>
      <c r="K22" s="359">
        <v>0</v>
      </c>
      <c r="L22" s="373">
        <v>231.53999999999996</v>
      </c>
      <c r="M22">
        <v>0</v>
      </c>
      <c r="N22" s="370" t="str">
        <f>HYPERLINK("http://finance.yahoo.com/q?s=" &amp; E22, "Link")</f>
        <v>Link</v>
      </c>
      <c r="O22" s="369">
        <v>1.6E-2</v>
      </c>
      <c r="P22" s="369">
        <v>1E-3</v>
      </c>
    </row>
    <row r="23" spans="1:22" ht="21.95" customHeight="1" x14ac:dyDescent="0.25">
      <c r="A23" s="51"/>
      <c r="B23" s="51"/>
      <c r="C23" s="52"/>
      <c r="E23" s="23" t="s">
        <v>62</v>
      </c>
      <c r="F23" s="247">
        <v>292.24</v>
      </c>
      <c r="G23" s="247">
        <v>292.24</v>
      </c>
      <c r="H23" s="335">
        <v>0</v>
      </c>
      <c r="I23" s="49">
        <v>0</v>
      </c>
      <c r="J23" s="373">
        <v>0</v>
      </c>
      <c r="K23" s="359">
        <v>0</v>
      </c>
      <c r="L23" s="373">
        <v>1659.3600000000079</v>
      </c>
      <c r="M23">
        <v>0</v>
      </c>
      <c r="N23" s="370" t="str">
        <f>HYPERLINK("http://finance.yahoo.com/q?s=" &amp; E23, "Link")</f>
        <v>Link</v>
      </c>
      <c r="O23" s="369">
        <v>0</v>
      </c>
      <c r="P23" s="369">
        <v>-2.8E-3</v>
      </c>
      <c r="R23" s="49"/>
      <c r="S23" s="49"/>
    </row>
    <row r="24" spans="1:22" ht="21.95" customHeight="1" x14ac:dyDescent="0.25">
      <c r="A24" s="51"/>
      <c r="B24" s="51"/>
      <c r="C24" s="52"/>
      <c r="E24" s="23" t="s">
        <v>313</v>
      </c>
      <c r="F24" s="247">
        <v>58.32</v>
      </c>
      <c r="G24" s="247">
        <v>58.32</v>
      </c>
      <c r="H24" s="335">
        <v>0</v>
      </c>
      <c r="I24" s="49">
        <v>0</v>
      </c>
      <c r="J24" s="373">
        <v>0</v>
      </c>
      <c r="K24" s="359">
        <v>0</v>
      </c>
      <c r="L24" s="373">
        <v>910.79999999999927</v>
      </c>
      <c r="M24">
        <v>0</v>
      </c>
      <c r="N24" s="370" t="str">
        <f>HYPERLINK("http://finance.yahoo.com/q?s=" &amp; E24, "Link")</f>
        <v>Link</v>
      </c>
      <c r="O24" s="369">
        <v>2.7400000000000001E-2</v>
      </c>
      <c r="P24" s="369">
        <v>5.7000000000000002E-3</v>
      </c>
      <c r="Q24" s="446"/>
      <c r="R24" s="49"/>
      <c r="S24" s="49"/>
      <c r="T24" s="49"/>
    </row>
    <row r="25" spans="1:22" ht="21.95" customHeight="1" x14ac:dyDescent="0.25">
      <c r="A25" s="52"/>
      <c r="B25" s="158"/>
      <c r="C25" s="336"/>
      <c r="E25" s="23" t="s">
        <v>52</v>
      </c>
      <c r="F25" s="247">
        <v>82.04</v>
      </c>
      <c r="G25" s="247">
        <v>82.04</v>
      </c>
      <c r="H25" s="335">
        <v>0</v>
      </c>
      <c r="I25" s="49">
        <v>0</v>
      </c>
      <c r="J25" s="373">
        <v>0</v>
      </c>
      <c r="K25" s="359">
        <v>0</v>
      </c>
      <c r="L25" s="373">
        <v>1056.739999999998</v>
      </c>
      <c r="M25">
        <v>0</v>
      </c>
      <c r="N25" s="370" t="str">
        <f>HYPERLINK("http://finance.yahoo.com/q?s=" &amp; E25, "Link")</f>
        <v>Link</v>
      </c>
      <c r="O25" s="369">
        <v>2.1999999999999999E-2</v>
      </c>
      <c r="P25" s="369">
        <v>1.1999999999999999E-3</v>
      </c>
      <c r="R25" s="49"/>
    </row>
    <row r="26" spans="1:22" ht="21.95" customHeight="1" x14ac:dyDescent="0.25">
      <c r="A26" s="51"/>
      <c r="B26" s="51"/>
      <c r="C26" s="52"/>
      <c r="E26" s="23" t="s">
        <v>335</v>
      </c>
      <c r="F26" s="247">
        <v>35.68</v>
      </c>
      <c r="G26" s="247">
        <v>35.68</v>
      </c>
      <c r="H26" s="335">
        <v>0</v>
      </c>
      <c r="I26" s="49">
        <v>0</v>
      </c>
      <c r="J26" s="373">
        <v>0</v>
      </c>
      <c r="K26" s="359">
        <v>0</v>
      </c>
      <c r="L26" s="373">
        <v>264.92000000000007</v>
      </c>
      <c r="M26">
        <v>0</v>
      </c>
      <c r="N26" s="370" t="str">
        <f>HYPERLINK("http://finance.yahoo.com/q?s=" &amp; E26, "Link")</f>
        <v>Link</v>
      </c>
      <c r="O26" s="369">
        <v>3.4200000000000001E-2</v>
      </c>
      <c r="P26" s="369">
        <v>8.9999999999999993E-3</v>
      </c>
      <c r="Q26" s="151"/>
      <c r="R26" s="49"/>
      <c r="S26" s="49"/>
    </row>
    <row r="27" spans="1:22" ht="21.95" customHeight="1" x14ac:dyDescent="0.25">
      <c r="A27" s="51"/>
      <c r="B27" s="51"/>
      <c r="C27" s="52"/>
      <c r="E27" s="23" t="s">
        <v>8</v>
      </c>
      <c r="F27" s="247">
        <v>72.349999999999994</v>
      </c>
      <c r="G27" s="247">
        <v>72.349999999999994</v>
      </c>
      <c r="H27" s="335">
        <v>0</v>
      </c>
      <c r="I27" s="49">
        <v>0</v>
      </c>
      <c r="J27" s="373">
        <v>0</v>
      </c>
      <c r="K27" s="359">
        <v>0</v>
      </c>
      <c r="L27" s="373">
        <v>121.94999999999982</v>
      </c>
      <c r="M27">
        <v>0</v>
      </c>
      <c r="N27" s="370" t="str">
        <f>HYPERLINK("http://finance.yahoo.com/q?s=" &amp; E27, "Link")</f>
        <v>Link</v>
      </c>
      <c r="O27" s="369">
        <v>1.67E-2</v>
      </c>
      <c r="P27" s="369">
        <v>9.1000000000000004E-3</v>
      </c>
    </row>
    <row r="28" spans="1:22" ht="21.95" customHeight="1" x14ac:dyDescent="0.25">
      <c r="A28" s="52"/>
      <c r="B28" s="52"/>
      <c r="C28" s="52"/>
      <c r="E28" s="23" t="s">
        <v>32</v>
      </c>
      <c r="F28" s="247">
        <v>47.91</v>
      </c>
      <c r="G28" s="247">
        <v>47.91</v>
      </c>
      <c r="H28" s="335">
        <v>0</v>
      </c>
      <c r="I28" s="49">
        <v>0</v>
      </c>
      <c r="J28" s="373">
        <v>0</v>
      </c>
      <c r="K28" s="359">
        <v>0</v>
      </c>
      <c r="L28" s="373">
        <v>1198.4699999999971</v>
      </c>
      <c r="M28">
        <v>0</v>
      </c>
      <c r="N28" s="370" t="str">
        <f>HYPERLINK("http://finance.yahoo.com/q?s=" &amp; E28, "Link")</f>
        <v>Link</v>
      </c>
      <c r="O28" s="369">
        <v>1.6199999999999999E-2</v>
      </c>
      <c r="P28" s="369">
        <v>1.4E-2</v>
      </c>
      <c r="Q28" s="49"/>
      <c r="R28" s="49"/>
      <c r="T28" s="49"/>
      <c r="V28" s="49"/>
    </row>
    <row r="29" spans="1:22" ht="21.95" customHeight="1" x14ac:dyDescent="0.25">
      <c r="A29" s="51"/>
      <c r="B29" s="51"/>
      <c r="C29" s="52"/>
      <c r="E29" s="23" t="s">
        <v>63</v>
      </c>
      <c r="F29" s="247">
        <v>110.92</v>
      </c>
      <c r="G29" s="247">
        <v>110.92</v>
      </c>
      <c r="H29" s="335">
        <v>0</v>
      </c>
      <c r="I29" s="49">
        <v>0</v>
      </c>
      <c r="J29" s="373">
        <v>0</v>
      </c>
      <c r="K29" s="359">
        <v>0</v>
      </c>
      <c r="L29" s="373">
        <v>257.30999999999949</v>
      </c>
      <c r="M29">
        <v>0</v>
      </c>
      <c r="N29" s="370" t="str">
        <f>HYPERLINK("http://finance.yahoo.com/q?s=" &amp; E29, "Link")</f>
        <v>Link</v>
      </c>
      <c r="O29" s="369">
        <v>1.41E-2</v>
      </c>
      <c r="P29" s="369">
        <v>-1E-3</v>
      </c>
      <c r="R29" s="49"/>
      <c r="S29" s="49"/>
    </row>
    <row r="30" spans="1:22" ht="21.95" customHeight="1" x14ac:dyDescent="0.25">
      <c r="A30" s="51"/>
      <c r="B30" s="51"/>
      <c r="C30" s="52"/>
      <c r="E30" s="23" t="s">
        <v>324</v>
      </c>
      <c r="F30" s="247">
        <v>92.74</v>
      </c>
      <c r="G30" s="247">
        <v>92.74</v>
      </c>
      <c r="H30" s="50">
        <v>0</v>
      </c>
      <c r="I30" s="49">
        <v>0</v>
      </c>
      <c r="J30" s="373">
        <v>0</v>
      </c>
      <c r="K30" s="359">
        <v>0</v>
      </c>
      <c r="L30" s="49">
        <v>720.56000000000131</v>
      </c>
      <c r="M30">
        <v>0</v>
      </c>
      <c r="N30" s="370" t="str">
        <f>HYPERLINK("http://finance.yahoo.com/q?s=" &amp; E30, "Link")</f>
        <v>Link</v>
      </c>
      <c r="O30" s="359">
        <v>0</v>
      </c>
      <c r="P30" s="359">
        <v>-3.3999999999999998E-3</v>
      </c>
      <c r="R30" s="49"/>
    </row>
    <row r="31" spans="1:22" ht="21.95" customHeight="1" x14ac:dyDescent="0.25">
      <c r="A31" s="51"/>
      <c r="B31" s="51"/>
      <c r="C31" s="52"/>
      <c r="E31" s="23" t="s">
        <v>200</v>
      </c>
      <c r="F31" s="247">
        <v>12.53</v>
      </c>
      <c r="G31" s="247">
        <v>12.53</v>
      </c>
      <c r="H31" s="50">
        <v>0</v>
      </c>
      <c r="I31" s="49">
        <v>0</v>
      </c>
      <c r="J31" s="373">
        <v>0</v>
      </c>
      <c r="K31" s="359">
        <v>0</v>
      </c>
      <c r="L31" s="49">
        <v>251.26000000000022</v>
      </c>
      <c r="M31">
        <v>0</v>
      </c>
      <c r="N31" s="370" t="str">
        <f>HYPERLINK("http://finance.yahoo.com/q?s=" &amp; E31, "Link")</f>
        <v>Link</v>
      </c>
      <c r="O31" s="359">
        <v>4.7399999999999998E-2</v>
      </c>
      <c r="P31" s="359">
        <v>2.3999999999999998E-3</v>
      </c>
      <c r="Q31" s="49"/>
      <c r="R31" s="49"/>
      <c r="S31" s="49"/>
      <c r="T31" s="49"/>
    </row>
    <row r="32" spans="1:22" ht="21.95" customHeight="1" x14ac:dyDescent="0.25">
      <c r="A32" s="51"/>
      <c r="B32" s="51"/>
      <c r="C32" s="52"/>
      <c r="E32" s="23" t="s">
        <v>278</v>
      </c>
      <c r="F32" s="247">
        <v>30.55</v>
      </c>
      <c r="G32" s="247">
        <v>30.55</v>
      </c>
      <c r="H32" s="335">
        <v>0</v>
      </c>
      <c r="I32" s="436">
        <v>0</v>
      </c>
      <c r="J32" s="373">
        <v>0</v>
      </c>
      <c r="K32" s="359">
        <v>0</v>
      </c>
      <c r="L32" s="373">
        <v>98.449999999999818</v>
      </c>
      <c r="M32">
        <v>0</v>
      </c>
      <c r="N32" s="370" t="str">
        <f>HYPERLINK("http://finance.yahoo.com/q?s=" &amp; E32, "Link")</f>
        <v>Link</v>
      </c>
      <c r="O32" s="369">
        <v>1.1900000000000001E-2</v>
      </c>
      <c r="P32" s="369">
        <v>-4.8999999999999998E-3</v>
      </c>
    </row>
    <row r="33" spans="1:21" ht="21.95" customHeight="1" x14ac:dyDescent="0.25">
      <c r="A33" s="51"/>
      <c r="B33" s="51"/>
      <c r="C33" s="52"/>
      <c r="E33" s="23" t="s">
        <v>56</v>
      </c>
      <c r="F33" s="247">
        <v>36.83</v>
      </c>
      <c r="G33" s="247">
        <v>36.83</v>
      </c>
      <c r="H33" s="50">
        <v>0</v>
      </c>
      <c r="I33" s="49">
        <v>0</v>
      </c>
      <c r="J33" s="373">
        <v>0</v>
      </c>
      <c r="K33" s="359">
        <v>0</v>
      </c>
      <c r="L33" s="49">
        <v>36.819999999999709</v>
      </c>
      <c r="M33">
        <v>0</v>
      </c>
      <c r="N33" s="370" t="str">
        <f>HYPERLINK("http://finance.yahoo.com/q?s=" &amp; E33, "Link")</f>
        <v>Link</v>
      </c>
      <c r="O33" s="359">
        <v>4.0300000000000002E-2</v>
      </c>
      <c r="P33" s="359">
        <v>0</v>
      </c>
    </row>
    <row r="34" spans="1:21" ht="21.95" customHeight="1" x14ac:dyDescent="0.25">
      <c r="A34" s="51"/>
      <c r="B34" s="51"/>
      <c r="C34" s="52"/>
      <c r="E34" s="23" t="s">
        <v>22</v>
      </c>
      <c r="F34" s="247">
        <v>47.42</v>
      </c>
      <c r="G34" s="247">
        <v>47.42</v>
      </c>
      <c r="H34" s="335">
        <v>0</v>
      </c>
      <c r="I34" s="49">
        <v>0</v>
      </c>
      <c r="J34" s="373">
        <v>0</v>
      </c>
      <c r="K34" s="359">
        <v>0</v>
      </c>
      <c r="L34" s="373">
        <v>3178.8000000000466</v>
      </c>
      <c r="M34">
        <v>0</v>
      </c>
      <c r="N34" s="370" t="str">
        <f>HYPERLINK("http://finance.yahoo.com/q?s=" &amp; E34, "Link")</f>
        <v>Link</v>
      </c>
      <c r="O34" s="369">
        <v>1.9300000000000001E-2</v>
      </c>
      <c r="P34" s="369">
        <v>-1.9800000000000002E-2</v>
      </c>
      <c r="S34" s="49"/>
      <c r="T34" s="49"/>
    </row>
    <row r="35" spans="1:21" ht="21.95" customHeight="1" x14ac:dyDescent="0.25">
      <c r="A35" s="51"/>
      <c r="B35" s="51"/>
      <c r="C35" s="52"/>
      <c r="E35" s="23" t="s">
        <v>27</v>
      </c>
      <c r="F35" s="247">
        <v>35.909999999999997</v>
      </c>
      <c r="G35" s="50">
        <v>35.909999999999997</v>
      </c>
      <c r="H35" s="335">
        <v>0</v>
      </c>
      <c r="I35" s="49">
        <v>0</v>
      </c>
      <c r="J35" s="373">
        <v>0</v>
      </c>
      <c r="K35" s="359">
        <v>0</v>
      </c>
      <c r="L35" s="373">
        <v>1407.5400000000009</v>
      </c>
      <c r="M35">
        <v>0</v>
      </c>
      <c r="N35" s="370" t="str">
        <f>HYPERLINK("http://finance.yahoo.com/q?s=" &amp; E35, "Link")</f>
        <v>Link</v>
      </c>
      <c r="O35" s="369">
        <v>2.9000000000000001E-2</v>
      </c>
      <c r="P35" s="369">
        <v>2.5000000000000001E-3</v>
      </c>
      <c r="R35" s="49"/>
      <c r="S35" s="49"/>
    </row>
    <row r="36" spans="1:21" ht="21.95" customHeight="1" x14ac:dyDescent="0.25">
      <c r="A36" s="52"/>
      <c r="B36" s="158"/>
      <c r="C36" s="336"/>
      <c r="E36" s="23" t="s">
        <v>174</v>
      </c>
      <c r="F36" s="247">
        <v>50.7</v>
      </c>
      <c r="G36" s="247">
        <v>50.7</v>
      </c>
      <c r="H36" s="50">
        <v>0</v>
      </c>
      <c r="I36" s="49">
        <v>0</v>
      </c>
      <c r="J36" s="373">
        <v>0</v>
      </c>
      <c r="K36" s="359">
        <v>0</v>
      </c>
      <c r="L36" s="49">
        <v>119.92000000000053</v>
      </c>
      <c r="M36">
        <v>0</v>
      </c>
      <c r="N36" s="370" t="str">
        <f>HYPERLINK("http://finance.yahoo.com/q?s=" &amp; E36, "Link")</f>
        <v>Link</v>
      </c>
      <c r="O36" s="359">
        <v>3.44E-2</v>
      </c>
      <c r="P36" s="359">
        <v>-5.9999999999999995E-4</v>
      </c>
      <c r="Q36" s="151"/>
      <c r="R36" s="49"/>
      <c r="S36" s="49"/>
      <c r="T36" s="49"/>
    </row>
    <row r="37" spans="1:21" ht="21.95" customHeight="1" x14ac:dyDescent="0.25">
      <c r="A37" s="51"/>
      <c r="B37" s="51"/>
      <c r="C37" s="52"/>
      <c r="E37" s="23" t="s">
        <v>281</v>
      </c>
      <c r="F37" s="247">
        <v>126.21</v>
      </c>
      <c r="G37" s="247">
        <v>126.21</v>
      </c>
      <c r="H37" s="50">
        <v>0</v>
      </c>
      <c r="I37" s="49">
        <v>0</v>
      </c>
      <c r="J37" s="373">
        <v>0</v>
      </c>
      <c r="K37" s="359">
        <v>0</v>
      </c>
      <c r="L37" s="49">
        <v>142.77999999999975</v>
      </c>
      <c r="M37">
        <v>0</v>
      </c>
      <c r="N37" s="370" t="str">
        <f>HYPERLINK("http://finance.yahoo.com/q?s=" &amp; E37, "Link")</f>
        <v>Link</v>
      </c>
      <c r="O37" s="359">
        <v>2.5899999999999999E-2</v>
      </c>
      <c r="P37" s="359">
        <v>2.0999999999999999E-3</v>
      </c>
      <c r="Q37" s="446"/>
      <c r="R37" s="49"/>
      <c r="S37" s="49"/>
    </row>
    <row r="38" spans="1:21" ht="21.95" customHeight="1" x14ac:dyDescent="0.25">
      <c r="A38" s="51"/>
      <c r="B38" s="51"/>
      <c r="C38" s="51"/>
      <c r="E38" s="23" t="s">
        <v>15</v>
      </c>
      <c r="F38" s="247">
        <v>23.89</v>
      </c>
      <c r="G38" s="247">
        <v>23.89</v>
      </c>
      <c r="H38" s="50">
        <v>0</v>
      </c>
      <c r="I38" s="49">
        <v>0</v>
      </c>
      <c r="J38" s="373">
        <v>0</v>
      </c>
      <c r="K38" s="359">
        <v>0</v>
      </c>
      <c r="L38" s="49">
        <v>155.90000000000146</v>
      </c>
      <c r="M38">
        <v>0</v>
      </c>
      <c r="N38" s="370" t="str">
        <f>HYPERLINK("http://finance.yahoo.com/q?s=" &amp; E38, "Link")</f>
        <v>Link</v>
      </c>
      <c r="O38" s="359">
        <v>0</v>
      </c>
      <c r="P38" s="359">
        <v>1.01E-2</v>
      </c>
    </row>
    <row r="39" spans="1:21" ht="21.95" customHeight="1" x14ac:dyDescent="0.25">
      <c r="A39" s="51"/>
      <c r="B39" s="51"/>
      <c r="C39" s="52"/>
      <c r="E39" s="23" t="s">
        <v>24</v>
      </c>
      <c r="F39" s="247">
        <v>36.85</v>
      </c>
      <c r="G39" s="247">
        <v>36.85</v>
      </c>
      <c r="H39" s="335">
        <v>0</v>
      </c>
      <c r="I39" s="49">
        <v>0</v>
      </c>
      <c r="J39" s="373">
        <v>0</v>
      </c>
      <c r="K39" s="359">
        <v>0</v>
      </c>
      <c r="L39" s="373">
        <v>937.36999999999534</v>
      </c>
      <c r="M39">
        <v>0</v>
      </c>
      <c r="N39" s="370" t="str">
        <f>HYPERLINK("http://finance.yahoo.com/q?s=" &amp; E39, "Link")</f>
        <v>Link</v>
      </c>
      <c r="O39" s="369">
        <v>0</v>
      </c>
      <c r="P39" s="369">
        <v>1.0699999999999999E-2</v>
      </c>
      <c r="R39" s="49"/>
      <c r="S39" s="49"/>
      <c r="T39" s="49"/>
    </row>
    <row r="40" spans="1:21" ht="21.95" customHeight="1" x14ac:dyDescent="0.25">
      <c r="A40" s="51"/>
      <c r="B40" s="51"/>
      <c r="C40" s="52"/>
      <c r="E40" s="23" t="s">
        <v>36</v>
      </c>
      <c r="F40" s="247">
        <v>55.88</v>
      </c>
      <c r="G40" s="247">
        <v>55.88</v>
      </c>
      <c r="H40" s="335">
        <v>0</v>
      </c>
      <c r="I40" s="49">
        <v>0</v>
      </c>
      <c r="J40" s="373">
        <v>0</v>
      </c>
      <c r="K40" s="359">
        <v>0</v>
      </c>
      <c r="L40" s="373">
        <v>117.73999999999978</v>
      </c>
      <c r="M40">
        <v>0</v>
      </c>
      <c r="N40" s="370" t="str">
        <f>HYPERLINK("http://finance.yahoo.com/q?s=" &amp; E40, "Link")</f>
        <v>Link</v>
      </c>
      <c r="O40" s="369">
        <v>6.8999999999999999E-3</v>
      </c>
      <c r="P40" s="369">
        <v>-8.5000000000000006E-3</v>
      </c>
      <c r="Q40" s="49"/>
      <c r="R40" s="49"/>
      <c r="S40" s="49"/>
      <c r="T40" s="357"/>
      <c r="U40" s="357"/>
    </row>
    <row r="41" spans="1:21" ht="21.95" customHeight="1" x14ac:dyDescent="0.25">
      <c r="A41" s="51"/>
      <c r="B41" s="51"/>
      <c r="C41" s="52"/>
      <c r="E41" s="23" t="s">
        <v>430</v>
      </c>
      <c r="F41" s="247">
        <v>87.73</v>
      </c>
      <c r="G41" s="247">
        <v>87.73</v>
      </c>
      <c r="H41" s="335">
        <v>0</v>
      </c>
      <c r="I41" s="49">
        <v>0</v>
      </c>
      <c r="J41" s="373">
        <v>0</v>
      </c>
      <c r="K41" s="359">
        <v>0</v>
      </c>
      <c r="L41" s="373">
        <v>636.93000000000029</v>
      </c>
      <c r="M41">
        <v>0</v>
      </c>
      <c r="N41" s="370" t="str">
        <f>HYPERLINK("http://finance.yahoo.com/q?s=" &amp; E41, "Link")</f>
        <v>Link</v>
      </c>
      <c r="O41" s="369">
        <v>0</v>
      </c>
      <c r="P41" s="369">
        <v>5.0000000000000001E-4</v>
      </c>
      <c r="Q41" s="151"/>
      <c r="S41" s="49"/>
      <c r="T41" s="49"/>
    </row>
    <row r="42" spans="1:21" ht="21.95" customHeight="1" x14ac:dyDescent="0.25">
      <c r="A42" s="51"/>
      <c r="B42" s="51"/>
      <c r="C42" s="52"/>
      <c r="E42" s="23" t="s">
        <v>207</v>
      </c>
      <c r="F42" s="247">
        <v>43.4</v>
      </c>
      <c r="G42" s="247">
        <v>43.4</v>
      </c>
      <c r="H42" s="335">
        <v>0</v>
      </c>
      <c r="I42" s="49">
        <v>0</v>
      </c>
      <c r="J42" s="373">
        <v>0</v>
      </c>
      <c r="K42" s="359">
        <v>0</v>
      </c>
      <c r="L42" s="373">
        <v>439.77999999999975</v>
      </c>
      <c r="M42">
        <v>0</v>
      </c>
      <c r="N42" s="370" t="str">
        <f>HYPERLINK("http://finance.yahoo.com/q?s=" &amp; E42, "Link")</f>
        <v>Link</v>
      </c>
      <c r="O42" s="369">
        <v>0</v>
      </c>
      <c r="P42" s="369">
        <v>3.8999999999999998E-3</v>
      </c>
      <c r="Q42" s="151"/>
      <c r="S42" s="49"/>
    </row>
    <row r="43" spans="1:21" ht="21.95" customHeight="1" x14ac:dyDescent="0.25">
      <c r="A43" s="51"/>
      <c r="B43" s="52"/>
      <c r="C43" s="52"/>
      <c r="E43" s="23" t="s">
        <v>279</v>
      </c>
      <c r="F43" s="247">
        <v>51.1</v>
      </c>
      <c r="G43" s="247">
        <v>51.1</v>
      </c>
      <c r="H43" s="50">
        <v>0</v>
      </c>
      <c r="I43" s="49">
        <v>0</v>
      </c>
      <c r="J43" s="373">
        <v>0</v>
      </c>
      <c r="K43" s="359">
        <v>0</v>
      </c>
      <c r="L43" s="49">
        <v>427.92000000000007</v>
      </c>
      <c r="M43">
        <v>0</v>
      </c>
      <c r="N43" s="370" t="str">
        <f>HYPERLINK("http://finance.yahoo.com/q?s=" &amp; E43, "Link")</f>
        <v>Link</v>
      </c>
      <c r="O43" s="359">
        <v>0</v>
      </c>
      <c r="P43" s="359">
        <v>2.3599999999999999E-2</v>
      </c>
      <c r="R43" s="49"/>
      <c r="T43" s="49"/>
    </row>
    <row r="44" spans="1:21" ht="21.95" customHeight="1" x14ac:dyDescent="0.25">
      <c r="A44" s="52"/>
      <c r="B44" s="51"/>
      <c r="C44" s="52"/>
      <c r="E44" s="23" t="s">
        <v>198</v>
      </c>
      <c r="F44" s="247">
        <v>56.43</v>
      </c>
      <c r="G44" s="247">
        <v>56.43</v>
      </c>
      <c r="H44" s="335">
        <v>0</v>
      </c>
      <c r="I44" s="49">
        <v>0</v>
      </c>
      <c r="J44" s="373">
        <v>0</v>
      </c>
      <c r="K44" s="359">
        <v>0</v>
      </c>
      <c r="L44" s="373">
        <v>471.8799999999992</v>
      </c>
      <c r="M44">
        <v>0</v>
      </c>
      <c r="N44" s="370" t="str">
        <f>HYPERLINK("http://finance.yahoo.com/q?s=" &amp; E44, "Link")</f>
        <v>Link</v>
      </c>
      <c r="O44" s="369">
        <v>1.2500000000000001E-2</v>
      </c>
      <c r="P44" s="369">
        <v>1.1999999999999999E-3</v>
      </c>
      <c r="Q44" s="446"/>
      <c r="R44" s="49"/>
      <c r="S44" s="49"/>
    </row>
    <row r="45" spans="1:21" ht="21.95" customHeight="1" x14ac:dyDescent="0.25">
      <c r="A45" s="51"/>
      <c r="B45" s="51"/>
      <c r="C45" s="52"/>
      <c r="E45" s="23" t="s">
        <v>47</v>
      </c>
      <c r="F45" s="247">
        <v>119.66</v>
      </c>
      <c r="G45" s="247">
        <v>119.66</v>
      </c>
      <c r="H45" s="335">
        <v>0</v>
      </c>
      <c r="I45" s="49">
        <v>0</v>
      </c>
      <c r="J45" s="373">
        <v>0</v>
      </c>
      <c r="K45" s="359">
        <v>0</v>
      </c>
      <c r="L45" s="373">
        <v>-168.6200000000008</v>
      </c>
      <c r="M45">
        <v>0</v>
      </c>
      <c r="N45" s="370" t="str">
        <f>HYPERLINK("http://finance.yahoo.com/q?s=" &amp; E45, "Link")</f>
        <v>Link</v>
      </c>
      <c r="O45" s="369">
        <v>0.02</v>
      </c>
      <c r="P45" s="369">
        <v>2.2000000000000001E-3</v>
      </c>
      <c r="Q45" s="151"/>
      <c r="R45" s="49"/>
      <c r="S45" s="49"/>
      <c r="T45" s="49"/>
    </row>
    <row r="46" spans="1:21" ht="21.95" customHeight="1" x14ac:dyDescent="0.25">
      <c r="A46" s="51"/>
      <c r="B46" s="51"/>
      <c r="C46" s="52"/>
      <c r="E46" s="23" t="s">
        <v>176</v>
      </c>
      <c r="F46" s="247">
        <v>48.67</v>
      </c>
      <c r="G46" s="247">
        <v>48.67</v>
      </c>
      <c r="H46" s="50">
        <v>0</v>
      </c>
      <c r="I46" s="49">
        <v>0</v>
      </c>
      <c r="J46" s="373">
        <v>0</v>
      </c>
      <c r="K46" s="359">
        <v>0</v>
      </c>
      <c r="L46" s="49">
        <v>75.019999999999982</v>
      </c>
      <c r="M46">
        <v>0</v>
      </c>
      <c r="N46" s="370" t="str">
        <f>HYPERLINK("http://finance.yahoo.com/q?s=" &amp; E46, "Link")</f>
        <v>Link</v>
      </c>
      <c r="O46" s="359">
        <v>1.54E-2</v>
      </c>
      <c r="P46" s="359">
        <v>4.7000000000000002E-3</v>
      </c>
      <c r="Q46" s="151"/>
      <c r="S46" s="49"/>
    </row>
    <row r="47" spans="1:21" ht="21.95" customHeight="1" x14ac:dyDescent="0.25">
      <c r="A47" s="52"/>
      <c r="B47" s="52"/>
      <c r="C47" s="52"/>
      <c r="E47" s="23" t="s">
        <v>23</v>
      </c>
      <c r="F47" s="247">
        <v>30.85</v>
      </c>
      <c r="G47" s="247">
        <v>30.85</v>
      </c>
      <c r="H47" s="50">
        <v>0</v>
      </c>
      <c r="I47" s="49">
        <v>0</v>
      </c>
      <c r="J47" s="373">
        <v>0</v>
      </c>
      <c r="K47" s="359">
        <v>0</v>
      </c>
      <c r="L47" s="49">
        <v>171.89999999999964</v>
      </c>
      <c r="M47">
        <v>0</v>
      </c>
      <c r="N47" s="370" t="str">
        <f>HYPERLINK("http://finance.yahoo.com/q?s=" &amp; E47, "Link")</f>
        <v>Link</v>
      </c>
      <c r="O47" s="359">
        <v>0</v>
      </c>
      <c r="P47" s="359">
        <v>1.9E-3</v>
      </c>
      <c r="Q47" s="49"/>
      <c r="R47" s="49"/>
      <c r="T47" s="49"/>
    </row>
    <row r="48" spans="1:21" ht="21.95" customHeight="1" x14ac:dyDescent="0.25">
      <c r="A48" s="51"/>
      <c r="B48" s="51"/>
      <c r="C48" s="52"/>
      <c r="E48" s="23" t="s">
        <v>177</v>
      </c>
      <c r="F48" s="247">
        <v>237.69</v>
      </c>
      <c r="G48" s="247">
        <v>237.69</v>
      </c>
      <c r="H48" s="335">
        <v>0</v>
      </c>
      <c r="I48" s="49">
        <v>0</v>
      </c>
      <c r="J48" s="373">
        <v>0</v>
      </c>
      <c r="K48" s="359">
        <v>0</v>
      </c>
      <c r="L48" s="373">
        <v>160.82999999999993</v>
      </c>
      <c r="M48">
        <v>0</v>
      </c>
      <c r="N48" s="370" t="str">
        <f>HYPERLINK("http://finance.yahoo.com/q?s=" &amp; E48, "Link")</f>
        <v>Link</v>
      </c>
      <c r="O48" s="369">
        <v>0</v>
      </c>
      <c r="P48" s="369">
        <v>3.5000000000000001E-3</v>
      </c>
      <c r="Q48" s="49"/>
      <c r="R48" s="49"/>
      <c r="S48" s="49"/>
      <c r="T48" s="49"/>
    </row>
    <row r="49" spans="1:22" ht="21.95" customHeight="1" x14ac:dyDescent="0.25">
      <c r="A49" s="52"/>
      <c r="B49" s="52"/>
      <c r="C49" s="52"/>
      <c r="E49" s="23" t="s">
        <v>172</v>
      </c>
      <c r="F49" s="247">
        <v>98.18</v>
      </c>
      <c r="G49" s="247">
        <v>98.18</v>
      </c>
      <c r="H49" s="335">
        <v>0</v>
      </c>
      <c r="I49" s="49">
        <v>0</v>
      </c>
      <c r="J49" s="373">
        <v>0</v>
      </c>
      <c r="K49" s="359">
        <v>0</v>
      </c>
      <c r="L49" s="373">
        <v>1368.8999999999978</v>
      </c>
      <c r="M49">
        <v>0</v>
      </c>
      <c r="N49" s="370" t="str">
        <f>HYPERLINK("http://finance.yahoo.com/q?s=" &amp; E49, "Link")</f>
        <v>Link</v>
      </c>
      <c r="O49" s="369">
        <v>1.18E-2</v>
      </c>
      <c r="P49" s="369">
        <v>1.0699999999999999E-2</v>
      </c>
      <c r="R49" s="49"/>
      <c r="S49" s="49"/>
    </row>
    <row r="50" spans="1:22" ht="21.95" customHeight="1" x14ac:dyDescent="0.25">
      <c r="A50" s="51"/>
      <c r="B50" s="51"/>
      <c r="C50" s="52"/>
      <c r="E50" s="23" t="s">
        <v>364</v>
      </c>
      <c r="F50" s="247">
        <v>33.39</v>
      </c>
      <c r="G50" s="247">
        <v>33.39</v>
      </c>
      <c r="H50" s="335">
        <v>0</v>
      </c>
      <c r="I50" s="49">
        <v>0</v>
      </c>
      <c r="J50" s="373">
        <v>-46.489999999999782</v>
      </c>
      <c r="K50" s="359">
        <v>0</v>
      </c>
      <c r="L50" s="373">
        <v>-46.489999999999782</v>
      </c>
      <c r="M50">
        <v>0</v>
      </c>
      <c r="N50" s="370" t="str">
        <f>HYPERLINK("http://finance.yahoo.com/q?s=" &amp; E50, "Link")</f>
        <v>Link</v>
      </c>
      <c r="O50" s="369">
        <v>3.9100000000000003E-2</v>
      </c>
      <c r="P50" s="369">
        <v>1.2999999999999999E-2</v>
      </c>
      <c r="Q50" s="446"/>
      <c r="R50" s="49"/>
      <c r="S50" s="49"/>
      <c r="V50" s="49"/>
    </row>
    <row r="51" spans="1:22" ht="21.95" customHeight="1" x14ac:dyDescent="0.25">
      <c r="A51" s="158"/>
      <c r="B51" s="51"/>
      <c r="C51" s="52"/>
      <c r="E51" s="23" t="s">
        <v>39</v>
      </c>
      <c r="F51" s="247">
        <v>44.55</v>
      </c>
      <c r="G51" s="247">
        <v>44.55</v>
      </c>
      <c r="H51" s="335">
        <v>0</v>
      </c>
      <c r="I51" s="49">
        <v>0</v>
      </c>
      <c r="J51" s="373">
        <v>0</v>
      </c>
      <c r="K51" s="359">
        <v>0</v>
      </c>
      <c r="L51" s="373">
        <v>529.88000000000284</v>
      </c>
      <c r="M51">
        <v>0</v>
      </c>
      <c r="N51" s="370" t="str">
        <f>HYPERLINK("http://finance.yahoo.com/q?s=" &amp; E51, "Link")</f>
        <v>Link</v>
      </c>
      <c r="O51" s="369">
        <v>2.3400000000000001E-2</v>
      </c>
      <c r="P51" s="369">
        <v>2.7699999999999999E-2</v>
      </c>
      <c r="Q51" s="49"/>
      <c r="R51" s="49"/>
      <c r="S51" s="49"/>
      <c r="T51" s="49"/>
    </row>
    <row r="52" spans="1:22" ht="21.95" customHeight="1" x14ac:dyDescent="0.25">
      <c r="A52" s="51"/>
      <c r="B52" s="51"/>
      <c r="C52" s="52"/>
      <c r="E52" s="23" t="s">
        <v>0</v>
      </c>
      <c r="F52" s="247">
        <v>159.33000000000001</v>
      </c>
      <c r="G52" s="247">
        <v>159.33000000000001</v>
      </c>
      <c r="H52" s="335">
        <v>0</v>
      </c>
      <c r="I52" s="49">
        <v>0</v>
      </c>
      <c r="J52" s="373">
        <v>0</v>
      </c>
      <c r="K52" s="359">
        <v>0</v>
      </c>
      <c r="L52" s="373">
        <v>465.57999999999993</v>
      </c>
      <c r="M52">
        <v>0</v>
      </c>
      <c r="N52" s="370" t="str">
        <f>HYPERLINK("http://finance.yahoo.com/q?s=" &amp; E52, "Link")</f>
        <v>Link</v>
      </c>
      <c r="O52" s="369">
        <v>3.8E-3</v>
      </c>
      <c r="P52" s="369">
        <v>9.7999999999999997E-3</v>
      </c>
      <c r="Q52" s="151"/>
    </row>
    <row r="53" spans="1:22" ht="21.95" customHeight="1" x14ac:dyDescent="0.25">
      <c r="A53" s="51"/>
      <c r="B53" s="51"/>
      <c r="C53" s="52"/>
      <c r="E53" s="23" t="s">
        <v>13</v>
      </c>
      <c r="F53" s="247">
        <v>72.34</v>
      </c>
      <c r="G53" s="247">
        <v>72.34</v>
      </c>
      <c r="H53" s="335">
        <v>0</v>
      </c>
      <c r="I53" s="49">
        <v>0</v>
      </c>
      <c r="J53" s="373">
        <v>0</v>
      </c>
      <c r="K53" s="359">
        <v>0</v>
      </c>
      <c r="L53" s="373">
        <v>1461.5600000000013</v>
      </c>
      <c r="M53">
        <v>0</v>
      </c>
      <c r="N53" s="370" t="str">
        <f>HYPERLINK("http://finance.yahoo.com/q?s=" &amp; E53, "Link")</f>
        <v>Link</v>
      </c>
      <c r="O53" s="369">
        <v>0</v>
      </c>
      <c r="P53" s="369">
        <v>-2.8E-3</v>
      </c>
      <c r="R53" s="49"/>
      <c r="S53" s="49"/>
      <c r="T53" s="49"/>
    </row>
    <row r="54" spans="1:22" ht="21.95" customHeight="1" x14ac:dyDescent="0.25">
      <c r="A54" s="51"/>
      <c r="B54" s="51"/>
      <c r="C54" s="52"/>
      <c r="E54" s="23" t="s">
        <v>51</v>
      </c>
      <c r="F54" s="247">
        <v>169.98</v>
      </c>
      <c r="G54" s="247">
        <v>169.98</v>
      </c>
      <c r="H54" s="335">
        <v>0</v>
      </c>
      <c r="I54" s="49">
        <v>0</v>
      </c>
      <c r="J54" s="373">
        <v>0</v>
      </c>
      <c r="K54" s="359">
        <v>0</v>
      </c>
      <c r="L54" s="373">
        <v>176.70000000000073</v>
      </c>
      <c r="M54">
        <v>0</v>
      </c>
      <c r="N54" s="370" t="str">
        <f>HYPERLINK("http://finance.yahoo.com/q?s=" &amp; E54, "Link")</f>
        <v>Link</v>
      </c>
      <c r="O54" s="369">
        <v>1.49E-2</v>
      </c>
      <c r="P54" s="369">
        <v>1.17E-2</v>
      </c>
    </row>
    <row r="55" spans="1:22" ht="21.95" customHeight="1" x14ac:dyDescent="0.25">
      <c r="A55" s="52"/>
      <c r="B55" s="52"/>
      <c r="C55" s="52"/>
      <c r="E55" s="23" t="s">
        <v>42</v>
      </c>
      <c r="F55" s="247">
        <v>106.28</v>
      </c>
      <c r="G55" s="247">
        <v>106.28</v>
      </c>
      <c r="H55" s="50">
        <v>0</v>
      </c>
      <c r="I55" s="49">
        <v>0</v>
      </c>
      <c r="J55" s="373">
        <v>0</v>
      </c>
      <c r="K55" s="359">
        <v>0</v>
      </c>
      <c r="L55" s="49">
        <v>128.08999999999833</v>
      </c>
      <c r="M55">
        <v>0</v>
      </c>
      <c r="N55" s="370" t="str">
        <f>HYPERLINK("http://finance.yahoo.com/q?s=" &amp; E55, "Link")</f>
        <v>Link</v>
      </c>
      <c r="O55" s="359">
        <v>0.02</v>
      </c>
      <c r="P55" s="359">
        <v>8.9999999999999998E-4</v>
      </c>
      <c r="T55" s="49"/>
    </row>
    <row r="56" spans="1:22" ht="21.95" customHeight="1" x14ac:dyDescent="0.25">
      <c r="A56" s="61"/>
      <c r="B56" s="62"/>
      <c r="C56" s="61"/>
      <c r="E56" s="23" t="s">
        <v>54</v>
      </c>
      <c r="F56" s="247">
        <v>112.14</v>
      </c>
      <c r="G56" s="247">
        <v>112.14</v>
      </c>
      <c r="H56" s="50">
        <v>0</v>
      </c>
      <c r="I56" s="49">
        <v>0</v>
      </c>
      <c r="J56" s="373">
        <v>0</v>
      </c>
      <c r="K56" s="359">
        <v>0</v>
      </c>
      <c r="L56" s="49">
        <v>114.84999999999991</v>
      </c>
      <c r="M56">
        <v>0</v>
      </c>
      <c r="N56" s="370" t="str">
        <f>HYPERLINK("http://finance.yahoo.com/q?s=" &amp; E56, "Link")</f>
        <v>Link</v>
      </c>
      <c r="O56" s="359">
        <v>2.3400000000000001E-2</v>
      </c>
      <c r="P56" s="359">
        <v>1.9E-3</v>
      </c>
      <c r="R56" s="49"/>
    </row>
    <row r="57" spans="1:22" ht="21.95" customHeight="1" x14ac:dyDescent="0.25">
      <c r="A57" s="51"/>
      <c r="B57" s="51"/>
      <c r="C57" s="52"/>
      <c r="E57" s="23" t="s">
        <v>230</v>
      </c>
      <c r="F57" s="247">
        <v>50.52</v>
      </c>
      <c r="G57" s="247">
        <v>50.52</v>
      </c>
      <c r="H57" s="335">
        <v>0</v>
      </c>
      <c r="I57" s="49">
        <v>0</v>
      </c>
      <c r="J57" s="373">
        <v>0</v>
      </c>
      <c r="K57" s="359">
        <v>0</v>
      </c>
      <c r="L57" s="373">
        <v>257.64999999999964</v>
      </c>
      <c r="M57">
        <v>0</v>
      </c>
      <c r="N57" s="370" t="str">
        <f>HYPERLINK("http://finance.yahoo.com/q?s=" &amp; E57, "Link")</f>
        <v>Link</v>
      </c>
      <c r="O57" s="369">
        <v>0</v>
      </c>
      <c r="P57" s="369">
        <v>8.9999999999999993E-3</v>
      </c>
      <c r="Q57" s="151"/>
      <c r="T57" s="49"/>
    </row>
    <row r="58" spans="1:22" ht="21.95" customHeight="1" x14ac:dyDescent="0.25">
      <c r="A58" s="52"/>
      <c r="B58" s="52"/>
      <c r="C58" s="52"/>
      <c r="E58" s="23" t="s">
        <v>53</v>
      </c>
      <c r="F58" s="247">
        <v>68.09</v>
      </c>
      <c r="G58" s="247">
        <v>68.09</v>
      </c>
      <c r="H58" s="335">
        <v>0</v>
      </c>
      <c r="I58" s="49">
        <v>0</v>
      </c>
      <c r="J58" s="373">
        <v>0</v>
      </c>
      <c r="K58" s="359">
        <v>0</v>
      </c>
      <c r="L58" s="373">
        <v>33.940000000000055</v>
      </c>
      <c r="M58">
        <v>0</v>
      </c>
      <c r="N58" s="370" t="str">
        <f>HYPERLINK("http://finance.yahoo.com/q?s=" &amp; E58, "Link")</f>
        <v>Link</v>
      </c>
      <c r="O58" s="369">
        <v>7.1000000000000004E-3</v>
      </c>
      <c r="P58" s="369">
        <v>-5.3E-3</v>
      </c>
      <c r="R58" s="49"/>
      <c r="T58" s="49"/>
    </row>
    <row r="59" spans="1:22" ht="21.95" customHeight="1" x14ac:dyDescent="0.25">
      <c r="A59" s="51"/>
      <c r="B59" s="52"/>
      <c r="C59" s="52"/>
      <c r="E59" s="23"/>
      <c r="H59" s="335"/>
      <c r="J59" s="373"/>
      <c r="K59" s="359"/>
      <c r="L59" s="373"/>
      <c r="N59" s="370"/>
      <c r="O59" s="369"/>
      <c r="P59" s="369"/>
      <c r="S59" s="49"/>
    </row>
    <row r="60" spans="1:22" ht="21.95" customHeight="1" x14ac:dyDescent="0.25">
      <c r="A60" s="51"/>
      <c r="B60" s="52"/>
      <c r="C60" s="52"/>
      <c r="E60" s="23"/>
      <c r="H60" s="335"/>
      <c r="J60" s="373"/>
      <c r="K60" s="359"/>
      <c r="L60" s="373"/>
      <c r="N60" s="370"/>
      <c r="O60" s="369"/>
      <c r="P60" s="369"/>
      <c r="Q60" s="151"/>
    </row>
  </sheetData>
  <sortState ref="E2:P58">
    <sortCondition descending="1" ref="I1"/>
  </sortState>
  <dataConsolidate/>
  <conditionalFormatting sqref="O1:O1048576">
    <cfRule type="expression" dxfId="121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214" priority="13">
      <formula>$H2=0</formula>
    </cfRule>
  </conditionalFormatting>
  <conditionalFormatting sqref="J2:K200">
    <cfRule type="expression" dxfId="1213" priority="14">
      <formula>$J2=0</formula>
    </cfRule>
  </conditionalFormatting>
  <conditionalFormatting sqref="L1:L1048576">
    <cfRule type="expression" dxfId="1212" priority="12">
      <formula>$L2=0</formula>
    </cfRule>
  </conditionalFormatting>
  <conditionalFormatting sqref="M1">
    <cfRule type="expression" dxfId="1211" priority="8">
      <formula>$L2=0</formula>
    </cfRule>
  </conditionalFormatting>
  <conditionalFormatting sqref="J2:K58">
    <cfRule type="expression" dxfId="1210" priority="56">
      <formula>$J2&gt;0</formula>
    </cfRule>
  </conditionalFormatting>
  <conditionalFormatting sqref="L2:L58">
    <cfRule type="expression" dxfId="1209" priority="10">
      <formula>$L2&lt;0</formula>
    </cfRule>
    <cfRule type="expression" dxfId="1208" priority="11">
      <formula>$L2&gt;0</formula>
    </cfRule>
  </conditionalFormatting>
  <conditionalFormatting sqref="J2:K458">
    <cfRule type="expression" dxfId="1207" priority="55">
      <formula>$J2&lt;0</formula>
    </cfRule>
  </conditionalFormatting>
  <conditionalFormatting sqref="P1:P1048576">
    <cfRule type="expression" dxfId="120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3" location="BIIB!A1" display="BIIB"/>
    <hyperlink ref="E42" location="MYL!A1" display="MYL"/>
    <hyperlink ref="E7" location="SIG!A1" display="SIG"/>
    <hyperlink ref="E18" location="AAPL!A1" display="AAPL"/>
    <hyperlink ref="E22" location="AXP!A1" display="AXP"/>
    <hyperlink ref="E14" location="DG!A1" display="DG"/>
    <hyperlink ref="E47" location="PINC!A1" display="PINC"/>
    <hyperlink ref="E32" location="FOXA!A1" display="FOXA"/>
    <hyperlink ref="E8" location="AOBC!A1" display="AOBC"/>
    <hyperlink ref="E40" location="LUV!A1" display="LUV"/>
    <hyperlink ref="E26" location="CCE!A1" display="CCE"/>
    <hyperlink ref="E24" location="BMY!A1" display="BMY"/>
    <hyperlink ref="E19" location="AKAM!A1" display="AKAM"/>
    <hyperlink ref="E12" location="CVS!A1" display="CVS"/>
    <hyperlink ref="E2" location="MRO!A1" display="MRO"/>
    <hyperlink ref="E4" location="KR!A1" display="KR"/>
    <hyperlink ref="E31" location="F!A1" display="F"/>
    <hyperlink ref="E37" location="JNJ!A1" display="JNJ"/>
    <hyperlink ref="E3" location="CPN!A1" display="CPN"/>
    <hyperlink ref="E30" location="EW!A1" display="EW"/>
    <hyperlink ref="E44" location="NKE!A1" display="NKE"/>
    <hyperlink ref="E15" location="MOS!A1" display="MOS"/>
    <hyperlink ref="E41" location="MJN!A1" display="MJN"/>
    <hyperlink ref="E57" location="VGK!A1" display="VGK"/>
    <hyperlink ref="E5" location="MU!A1" display="MU"/>
    <hyperlink ref="E36" location="IP!A1" display="IP"/>
    <hyperlink ref="E35" location="INTC!A1" display="INTC"/>
    <hyperlink ref="E34" location="HES!A1" display="HES"/>
    <hyperlink ref="E55" location="UNP!A1" display="UNP"/>
    <hyperlink ref="E43" location="NCLH!A1" display="NCLH"/>
    <hyperlink ref="E48" location="SPY!A1" display="SPY"/>
    <hyperlink ref="E49" location="SWKS!A1" display="SWKS"/>
    <hyperlink ref="E27" location="CNI!A1" display="CNI"/>
    <hyperlink ref="E16" location="WFC!A1" display="WFC"/>
    <hyperlink ref="E17" location="AA!A1" display="AA"/>
    <hyperlink ref="E38" location="KATE!A1" display="KATE"/>
    <hyperlink ref="E9" location="CF!A1" display="CF"/>
    <hyperlink ref="E11" location="TGT!A1" display="TGT"/>
    <hyperlink ref="E46" location="NWL!A1" display="NWL"/>
    <hyperlink ref="E39" location="KORS!A1" display="KORS"/>
    <hyperlink ref="E20" location="ALL!A1" display="ALL"/>
    <hyperlink ref="E45" location="NSC!A1" display="NSC"/>
    <hyperlink ref="E21" location="AVGO!A1" display="AVGO"/>
    <hyperlink ref="E53" location="UAL!A1" display="UAL"/>
    <hyperlink ref="E25" location="CAH!A1" display="CAH"/>
    <hyperlink ref="E28" location="DAL!A1" display="DAL"/>
    <hyperlink ref="E50" location="TEVA!A1" display="TEVA"/>
    <hyperlink ref="E29" location="DIS!A1" display="DIS"/>
    <hyperlink ref="E10" location="FTR!A1" display="FTR"/>
    <hyperlink ref="E6" location="GILD!A1" display="GILD"/>
    <hyperlink ref="E58" location="WWD!A1" display="WWD"/>
    <hyperlink ref="E13" location="GIS!A1" display="GIS"/>
    <hyperlink ref="E33" location="GM!A1" display="GM"/>
    <hyperlink ref="E52" location="TMO!A1" display="TMO"/>
    <hyperlink ref="E51" location="TKR!A1" display="TKR"/>
    <hyperlink ref="E56" location="UTX!A1" display="UTX"/>
    <hyperlink ref="E5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topLeftCell="C1" workbookViewId="0">
      <pane ySplit="1" topLeftCell="A236" activePane="bottomLeft" state="frozen"/>
      <selection activeCell="E5" sqref="E5"/>
      <selection pane="bottomLeft" activeCell="N264" sqref="N264"/>
    </sheetView>
  </sheetViews>
  <sheetFormatPr defaultColWidth="9.140625" defaultRowHeight="18" customHeight="1" x14ac:dyDescent="0.25"/>
  <cols>
    <col min="1" max="1" width="9.5703125" style="286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0" t="s">
        <v>1</v>
      </c>
      <c r="B1" s="311" t="s">
        <v>2</v>
      </c>
      <c r="C1" s="312" t="s">
        <v>4</v>
      </c>
      <c r="D1" s="311" t="s">
        <v>5</v>
      </c>
      <c r="E1" s="311" t="s">
        <v>94</v>
      </c>
      <c r="F1" s="313" t="s">
        <v>60</v>
      </c>
      <c r="G1" s="311" t="s">
        <v>3</v>
      </c>
      <c r="H1" s="312" t="s">
        <v>6</v>
      </c>
      <c r="I1" s="311" t="s">
        <v>7</v>
      </c>
      <c r="J1" s="312" t="s">
        <v>95</v>
      </c>
      <c r="K1" s="313" t="s">
        <v>61</v>
      </c>
      <c r="L1" s="311" t="s">
        <v>77</v>
      </c>
      <c r="M1" s="313" t="s">
        <v>38</v>
      </c>
      <c r="N1" s="312" t="s">
        <v>59</v>
      </c>
      <c r="O1" s="312" t="s">
        <v>76</v>
      </c>
      <c r="P1" s="24" t="s">
        <v>133</v>
      </c>
    </row>
    <row r="2" spans="1:17" ht="18" customHeight="1" x14ac:dyDescent="0.25">
      <c r="A2" s="299" t="s">
        <v>12</v>
      </c>
      <c r="B2" s="300">
        <v>42151</v>
      </c>
      <c r="C2" s="301">
        <v>5</v>
      </c>
      <c r="D2" s="302">
        <v>42.7</v>
      </c>
      <c r="E2" s="303"/>
      <c r="F2" s="302">
        <f>C2*D2</f>
        <v>213.5</v>
      </c>
      <c r="G2" s="300">
        <v>42181</v>
      </c>
      <c r="H2" s="301">
        <v>5</v>
      </c>
      <c r="I2" s="302">
        <v>43.35</v>
      </c>
      <c r="J2" s="301">
        <v>0.01</v>
      </c>
      <c r="K2" s="302">
        <f>H2*I2-J2</f>
        <v>216.74</v>
      </c>
      <c r="L2" s="303"/>
      <c r="M2" s="302"/>
      <c r="N2" s="302"/>
      <c r="O2" s="304"/>
    </row>
    <row r="3" spans="1:17" ht="18" customHeight="1" x14ac:dyDescent="0.25">
      <c r="A3" s="299"/>
      <c r="B3" s="300">
        <v>42153</v>
      </c>
      <c r="C3" s="301">
        <v>25</v>
      </c>
      <c r="D3" s="302">
        <v>41.6</v>
      </c>
      <c r="E3" s="303"/>
      <c r="F3" s="302">
        <f>C3*D3</f>
        <v>1040</v>
      </c>
      <c r="G3" s="300">
        <v>42200</v>
      </c>
      <c r="H3" s="301">
        <v>10</v>
      </c>
      <c r="I3" s="302">
        <v>41.64</v>
      </c>
      <c r="J3" s="301">
        <v>0.01</v>
      </c>
      <c r="K3" s="302">
        <f>H3*I3-J3</f>
        <v>416.39</v>
      </c>
      <c r="L3" s="303"/>
      <c r="M3" s="302"/>
      <c r="N3" s="302"/>
      <c r="O3" s="304"/>
    </row>
    <row r="4" spans="1:17" ht="18" customHeight="1" x14ac:dyDescent="0.25">
      <c r="A4" s="299"/>
      <c r="B4" s="300">
        <v>42166</v>
      </c>
      <c r="C4" s="301">
        <v>10</v>
      </c>
      <c r="D4" s="302">
        <v>40</v>
      </c>
      <c r="E4" s="303"/>
      <c r="F4" s="302">
        <f>C4*D4</f>
        <v>400</v>
      </c>
      <c r="G4" s="300">
        <v>42201</v>
      </c>
      <c r="H4" s="301">
        <v>125</v>
      </c>
      <c r="I4" s="302">
        <v>42.6</v>
      </c>
      <c r="J4" s="301">
        <v>0.1</v>
      </c>
      <c r="K4" s="302">
        <f>H4*I4-J4</f>
        <v>5324.9</v>
      </c>
      <c r="L4" s="303"/>
      <c r="M4" s="302"/>
      <c r="N4" s="302"/>
      <c r="O4" s="304"/>
      <c r="Q4" s="152"/>
    </row>
    <row r="5" spans="1:17" ht="18" customHeight="1" x14ac:dyDescent="0.25">
      <c r="A5" s="299"/>
      <c r="B5" s="300">
        <v>42166</v>
      </c>
      <c r="C5" s="301">
        <v>100</v>
      </c>
      <c r="D5" s="302">
        <v>39.799999999999997</v>
      </c>
      <c r="E5" s="303"/>
      <c r="F5" s="302">
        <f>C5*D5</f>
        <v>3979.9999999999995</v>
      </c>
      <c r="G5" s="303"/>
      <c r="H5" s="301"/>
      <c r="I5" s="302"/>
      <c r="J5" s="301"/>
      <c r="K5" s="302"/>
      <c r="L5" s="303"/>
      <c r="M5" s="302"/>
      <c r="N5" s="302"/>
      <c r="O5" s="304"/>
    </row>
    <row r="6" spans="1:17" ht="17.25" customHeight="1" x14ac:dyDescent="0.25">
      <c r="A6" s="299"/>
      <c r="B6" s="305"/>
      <c r="C6" s="306">
        <f>SUM(C2:C5)</f>
        <v>140</v>
      </c>
      <c r="D6" s="307"/>
      <c r="E6" s="308"/>
      <c r="F6" s="307">
        <f>SUM(F2:F5)</f>
        <v>5633.5</v>
      </c>
      <c r="G6" s="308"/>
      <c r="H6" s="306">
        <f>SUM(H2:H5)</f>
        <v>140</v>
      </c>
      <c r="I6" s="307"/>
      <c r="J6" s="306"/>
      <c r="K6" s="307">
        <f>SUM(K2:K5)</f>
        <v>5958.03</v>
      </c>
      <c r="L6" s="308"/>
      <c r="M6" s="307"/>
      <c r="N6" s="307">
        <f>K6-F6</f>
        <v>324.52999999999975</v>
      </c>
      <c r="O6" s="309">
        <f>(N6+M6)/F6</f>
        <v>5.7607171385461925E-2</v>
      </c>
      <c r="P6" s="142" t="s">
        <v>134</v>
      </c>
    </row>
    <row r="7" spans="1:17" ht="17.25" customHeight="1" x14ac:dyDescent="0.25">
      <c r="A7" s="287"/>
      <c r="B7" s="146"/>
      <c r="C7" s="147"/>
      <c r="D7" s="148"/>
      <c r="E7" s="25"/>
      <c r="F7" s="148"/>
      <c r="G7" s="149"/>
      <c r="H7" s="147"/>
      <c r="I7" s="148"/>
      <c r="K7" s="148"/>
      <c r="L7" s="149"/>
      <c r="M7" s="148"/>
      <c r="N7" s="148"/>
      <c r="O7" s="150"/>
      <c r="P7" s="142"/>
    </row>
    <row r="8" spans="1:17" ht="17.25" customHeight="1" x14ac:dyDescent="0.25">
      <c r="A8" s="288" t="s">
        <v>18</v>
      </c>
      <c r="B8" s="289">
        <v>42153</v>
      </c>
      <c r="C8" s="290">
        <v>50</v>
      </c>
      <c r="D8" s="291">
        <v>36.4</v>
      </c>
      <c r="E8" s="291">
        <v>0</v>
      </c>
      <c r="F8" s="291">
        <f t="shared" ref="F8:F15" si="0">C8*D8</f>
        <v>1820</v>
      </c>
      <c r="G8" s="289">
        <v>42333</v>
      </c>
      <c r="H8" s="292">
        <v>80</v>
      </c>
      <c r="I8" s="291">
        <v>8.7200000000000006</v>
      </c>
      <c r="J8" s="291">
        <v>0.01</v>
      </c>
      <c r="K8" s="291">
        <f>I8*H8-J8</f>
        <v>697.59</v>
      </c>
      <c r="L8" s="290"/>
      <c r="M8" s="290"/>
      <c r="N8" s="290"/>
      <c r="O8" s="293"/>
      <c r="P8" s="4"/>
      <c r="Q8" s="184"/>
    </row>
    <row r="9" spans="1:17" ht="17.25" customHeight="1" x14ac:dyDescent="0.25">
      <c r="A9" s="294"/>
      <c r="B9" s="289">
        <v>42173</v>
      </c>
      <c r="C9" s="290">
        <v>5</v>
      </c>
      <c r="D9" s="291">
        <v>22.95</v>
      </c>
      <c r="E9" s="291">
        <v>0</v>
      </c>
      <c r="F9" s="291">
        <f t="shared" si="0"/>
        <v>114.75</v>
      </c>
      <c r="G9" s="289">
        <v>42335</v>
      </c>
      <c r="H9" s="292">
        <v>80</v>
      </c>
      <c r="I9" s="291">
        <v>8.98</v>
      </c>
      <c r="J9" s="291">
        <v>0.01</v>
      </c>
      <c r="K9" s="291">
        <f>I9*H9-J9</f>
        <v>718.3900000000001</v>
      </c>
      <c r="L9" s="290"/>
      <c r="M9" s="290"/>
      <c r="N9" s="290"/>
      <c r="O9" s="293"/>
      <c r="P9" s="4"/>
      <c r="Q9" s="3"/>
    </row>
    <row r="10" spans="1:17" ht="17.25" customHeight="1" x14ac:dyDescent="0.25">
      <c r="A10" s="295"/>
      <c r="B10" s="289">
        <v>42173</v>
      </c>
      <c r="C10" s="290">
        <v>10</v>
      </c>
      <c r="D10" s="291">
        <v>22.8</v>
      </c>
      <c r="E10" s="291">
        <v>0</v>
      </c>
      <c r="F10" s="291">
        <f t="shared" si="0"/>
        <v>228</v>
      </c>
      <c r="G10" s="289">
        <v>42362</v>
      </c>
      <c r="H10" s="292">
        <v>80</v>
      </c>
      <c r="I10" s="291">
        <v>9.4499999999999993</v>
      </c>
      <c r="J10" s="291">
        <v>0.01</v>
      </c>
      <c r="K10" s="291">
        <f>I10*H10-J10</f>
        <v>755.99</v>
      </c>
      <c r="L10" s="290"/>
      <c r="M10" s="290"/>
      <c r="N10" s="290"/>
      <c r="O10" s="293"/>
      <c r="P10" s="4"/>
      <c r="Q10" s="284"/>
    </row>
    <row r="11" spans="1:17" ht="18" customHeight="1" x14ac:dyDescent="0.25">
      <c r="A11" s="295"/>
      <c r="B11" s="289">
        <v>42234</v>
      </c>
      <c r="C11" s="290">
        <v>15</v>
      </c>
      <c r="D11" s="291">
        <v>13.9</v>
      </c>
      <c r="E11" s="291">
        <v>0</v>
      </c>
      <c r="F11" s="291">
        <f t="shared" si="0"/>
        <v>208.5</v>
      </c>
      <c r="G11" s="289">
        <v>42398</v>
      </c>
      <c r="H11" s="292">
        <v>3</v>
      </c>
      <c r="I11" s="291">
        <v>5.81</v>
      </c>
      <c r="J11" s="291">
        <v>0.01</v>
      </c>
      <c r="K11" s="291">
        <f>I11*H11-J11</f>
        <v>17.419999999999998</v>
      </c>
      <c r="L11" s="290"/>
      <c r="M11" s="290"/>
      <c r="N11" s="290"/>
      <c r="O11" s="293"/>
      <c r="P11" s="4"/>
      <c r="Q11" s="3"/>
    </row>
    <row r="12" spans="1:17" ht="18" customHeight="1" x14ac:dyDescent="0.25">
      <c r="A12" s="295"/>
      <c r="B12" s="702">
        <v>42328</v>
      </c>
      <c r="C12" s="290">
        <v>1</v>
      </c>
      <c r="D12" s="291">
        <v>8.59</v>
      </c>
      <c r="E12" s="291">
        <v>0</v>
      </c>
      <c r="F12" s="291">
        <f t="shared" si="0"/>
        <v>8.59</v>
      </c>
      <c r="G12" s="290"/>
      <c r="H12" s="292"/>
      <c r="I12" s="291"/>
      <c r="J12" s="291"/>
      <c r="K12" s="291"/>
      <c r="L12" s="290"/>
      <c r="M12" s="290"/>
      <c r="N12" s="290"/>
      <c r="O12" s="293"/>
      <c r="P12" s="4"/>
      <c r="Q12" s="3"/>
    </row>
    <row r="13" spans="1:17" ht="18" customHeight="1" x14ac:dyDescent="0.25">
      <c r="A13" s="295"/>
      <c r="B13" s="702"/>
      <c r="C13" s="290">
        <v>80</v>
      </c>
      <c r="D13" s="291">
        <v>8.59</v>
      </c>
      <c r="E13" s="291">
        <v>0</v>
      </c>
      <c r="F13" s="291">
        <f t="shared" si="0"/>
        <v>687.2</v>
      </c>
      <c r="G13" s="290"/>
      <c r="H13" s="292"/>
      <c r="I13" s="291"/>
      <c r="J13" s="291"/>
      <c r="K13" s="291"/>
      <c r="L13" s="290"/>
      <c r="M13" s="290"/>
      <c r="N13" s="290"/>
      <c r="O13" s="293"/>
      <c r="P13" s="4"/>
      <c r="Q13" s="3"/>
    </row>
    <row r="14" spans="1:17" ht="18" customHeight="1" x14ac:dyDescent="0.25">
      <c r="A14" s="295"/>
      <c r="B14" s="702">
        <v>42354</v>
      </c>
      <c r="C14" s="290">
        <v>2</v>
      </c>
      <c r="D14" s="291">
        <v>8.73</v>
      </c>
      <c r="E14" s="291">
        <v>0</v>
      </c>
      <c r="F14" s="291">
        <f t="shared" si="0"/>
        <v>17.46</v>
      </c>
      <c r="G14" s="290"/>
      <c r="H14" s="292"/>
      <c r="I14" s="291"/>
      <c r="J14" s="291"/>
      <c r="K14" s="291"/>
      <c r="L14" s="290"/>
      <c r="M14" s="290"/>
      <c r="N14" s="290"/>
      <c r="O14" s="293"/>
      <c r="P14" s="4"/>
      <c r="Q14" s="285"/>
    </row>
    <row r="15" spans="1:17" ht="18" customHeight="1" x14ac:dyDescent="0.25">
      <c r="A15" s="295"/>
      <c r="B15" s="702"/>
      <c r="C15" s="290">
        <v>80</v>
      </c>
      <c r="D15" s="291">
        <v>8.73</v>
      </c>
      <c r="E15" s="291">
        <v>0</v>
      </c>
      <c r="F15" s="291">
        <f t="shared" si="0"/>
        <v>698.40000000000009</v>
      </c>
      <c r="G15" s="290"/>
      <c r="H15" s="290"/>
      <c r="I15" s="291"/>
      <c r="J15" s="291"/>
      <c r="K15" s="291"/>
      <c r="L15" s="290"/>
      <c r="M15" s="290"/>
      <c r="N15" s="290"/>
      <c r="O15" s="290"/>
      <c r="P15" s="4"/>
      <c r="Q15" s="4"/>
    </row>
    <row r="16" spans="1:17" ht="18" customHeight="1" x14ac:dyDescent="0.25">
      <c r="A16" s="288"/>
      <c r="B16" s="293"/>
      <c r="C16" s="293">
        <f>SUM(C8:C15)</f>
        <v>243</v>
      </c>
      <c r="D16" s="296"/>
      <c r="E16" s="296"/>
      <c r="F16" s="296">
        <f>SUM(F8:F15)</f>
        <v>3782.9</v>
      </c>
      <c r="G16" s="296"/>
      <c r="H16" s="297">
        <f>SUM(H8:H12)</f>
        <v>243</v>
      </c>
      <c r="I16" s="296"/>
      <c r="J16" s="296"/>
      <c r="K16" s="296">
        <f>SUM(K8:K12)</f>
        <v>2189.3900000000003</v>
      </c>
      <c r="L16" s="296"/>
      <c r="M16" s="296"/>
      <c r="N16" s="296">
        <f>K16-F16</f>
        <v>-1593.5099999999998</v>
      </c>
      <c r="O16" s="298">
        <f>N16/F16</f>
        <v>-0.42124031827433972</v>
      </c>
      <c r="P16" s="4"/>
      <c r="Q16" s="4"/>
    </row>
    <row r="17" spans="1:20" ht="18" customHeight="1" x14ac:dyDescent="0.25">
      <c r="A17" s="25"/>
      <c r="B17" s="314"/>
      <c r="C17" s="315"/>
      <c r="D17" s="316"/>
      <c r="E17" s="316"/>
      <c r="F17" s="316"/>
      <c r="G17" s="314"/>
      <c r="H17" s="315"/>
      <c r="I17" s="316"/>
      <c r="J17" s="316"/>
      <c r="K17" s="316"/>
      <c r="L17" s="314"/>
      <c r="M17" s="316"/>
      <c r="N17" s="316"/>
      <c r="O17" s="317"/>
    </row>
    <row r="18" spans="1:20" ht="18" customHeight="1" x14ac:dyDescent="0.25">
      <c r="A18" s="299" t="s">
        <v>48</v>
      </c>
      <c r="B18" s="300">
        <v>42186</v>
      </c>
      <c r="C18" s="301">
        <v>10</v>
      </c>
      <c r="D18" s="302">
        <v>101.7</v>
      </c>
      <c r="E18" s="302"/>
      <c r="F18" s="302">
        <f>C18*D18</f>
        <v>1017</v>
      </c>
      <c r="G18" s="300">
        <v>42186</v>
      </c>
      <c r="H18" s="301">
        <v>10</v>
      </c>
      <c r="I18" s="302">
        <v>103</v>
      </c>
      <c r="J18" s="302">
        <v>0.02</v>
      </c>
      <c r="K18" s="302">
        <f>H18*I18-J18</f>
        <v>1029.98</v>
      </c>
      <c r="L18" s="303"/>
      <c r="M18" s="302"/>
      <c r="N18" s="302"/>
      <c r="O18" s="304"/>
    </row>
    <row r="19" spans="1:20" ht="18" customHeight="1" x14ac:dyDescent="0.25">
      <c r="A19" s="299"/>
      <c r="B19" s="305"/>
      <c r="C19" s="306">
        <f>SUM(C18)</f>
        <v>10</v>
      </c>
      <c r="D19" s="307"/>
      <c r="E19" s="307"/>
      <c r="F19" s="307">
        <f>SUM(F18)</f>
        <v>1017</v>
      </c>
      <c r="G19" s="308"/>
      <c r="H19" s="306">
        <f>SUM(H18)</f>
        <v>10</v>
      </c>
      <c r="I19" s="307"/>
      <c r="J19" s="307"/>
      <c r="K19" s="307">
        <f>SUM(K18)</f>
        <v>1029.98</v>
      </c>
      <c r="L19" s="308"/>
      <c r="M19" s="307"/>
      <c r="N19" s="307">
        <f>K19-F19</f>
        <v>12.980000000000018</v>
      </c>
      <c r="O19" s="309">
        <f>(N19+M19)/F19</f>
        <v>1.2763028515240922E-2</v>
      </c>
      <c r="P19" s="142" t="s">
        <v>134</v>
      </c>
    </row>
    <row r="20" spans="1:20" ht="18" customHeight="1" x14ac:dyDescent="0.25">
      <c r="A20" s="25"/>
      <c r="B20" s="314"/>
      <c r="C20" s="315"/>
      <c r="D20" s="316"/>
      <c r="E20" s="25"/>
      <c r="F20" s="316"/>
      <c r="G20" s="314"/>
      <c r="H20" s="315"/>
      <c r="I20" s="316"/>
      <c r="K20" s="316"/>
      <c r="L20" s="314"/>
      <c r="M20" s="316"/>
      <c r="N20" s="316"/>
      <c r="O20" s="317"/>
      <c r="R20" s="314"/>
      <c r="S20" s="315"/>
      <c r="T20" s="316"/>
    </row>
    <row r="21" spans="1:20" ht="18" customHeight="1" x14ac:dyDescent="0.25">
      <c r="A21" s="299" t="s">
        <v>68</v>
      </c>
      <c r="B21" s="300">
        <v>42164</v>
      </c>
      <c r="C21" s="301">
        <v>20</v>
      </c>
      <c r="D21" s="302">
        <v>11.25</v>
      </c>
      <c r="E21" s="303">
        <v>0</v>
      </c>
      <c r="F21" s="302">
        <f t="shared" ref="F21:F26" si="1">C21*D21+E21</f>
        <v>225</v>
      </c>
      <c r="G21" s="300">
        <v>42235</v>
      </c>
      <c r="H21" s="301">
        <v>110</v>
      </c>
      <c r="I21" s="302">
        <v>8.69</v>
      </c>
      <c r="J21" s="301">
        <v>0.02</v>
      </c>
      <c r="K21" s="302">
        <f>H21*I21-J21</f>
        <v>955.88</v>
      </c>
      <c r="L21" s="303">
        <v>42346</v>
      </c>
      <c r="M21" s="302">
        <f>21.93-0.91-2.19-4.38</f>
        <v>14.45</v>
      </c>
      <c r="N21" s="302"/>
      <c r="O21" s="304"/>
      <c r="R21" s="149"/>
      <c r="S21" s="147"/>
      <c r="T21" s="148"/>
    </row>
    <row r="22" spans="1:20" ht="18" customHeight="1" x14ac:dyDescent="0.25">
      <c r="A22" s="299" t="s">
        <v>124</v>
      </c>
      <c r="B22" s="300">
        <v>42187</v>
      </c>
      <c r="C22" s="301">
        <v>20</v>
      </c>
      <c r="D22" s="302">
        <v>10.28</v>
      </c>
      <c r="E22" s="303">
        <v>0</v>
      </c>
      <c r="F22" s="302">
        <f t="shared" si="1"/>
        <v>205.6</v>
      </c>
      <c r="G22" s="300">
        <v>42331</v>
      </c>
      <c r="H22" s="301">
        <v>150</v>
      </c>
      <c r="I22" s="302">
        <v>8.7100000000000009</v>
      </c>
      <c r="J22" s="301">
        <v>0.51</v>
      </c>
      <c r="K22" s="302">
        <f>H22*I22-J22</f>
        <v>1305.9900000000002</v>
      </c>
      <c r="L22" s="303"/>
      <c r="M22" s="302"/>
      <c r="N22" s="302"/>
      <c r="O22" s="304"/>
      <c r="R22" s="149"/>
      <c r="S22" s="147"/>
      <c r="T22" s="148"/>
    </row>
    <row r="23" spans="1:20" ht="18" customHeight="1" x14ac:dyDescent="0.25">
      <c r="A23" s="299"/>
      <c r="B23" s="300">
        <v>42198</v>
      </c>
      <c r="C23" s="301">
        <v>40</v>
      </c>
      <c r="D23" s="302">
        <v>10.119999999999999</v>
      </c>
      <c r="E23" s="303">
        <v>0</v>
      </c>
      <c r="F23" s="302">
        <f t="shared" si="1"/>
        <v>404.79999999999995</v>
      </c>
      <c r="G23" s="300">
        <v>42332</v>
      </c>
      <c r="H23" s="301">
        <v>120</v>
      </c>
      <c r="I23" s="302">
        <v>9.0500000000000007</v>
      </c>
      <c r="J23" s="301">
        <v>0.02</v>
      </c>
      <c r="K23" s="302">
        <f>H23*I23-J23</f>
        <v>1085.98</v>
      </c>
      <c r="L23" s="303"/>
      <c r="M23" s="302"/>
      <c r="N23" s="302"/>
      <c r="O23" s="304"/>
      <c r="R23" s="149"/>
      <c r="S23" s="147"/>
      <c r="T23" s="148"/>
    </row>
    <row r="24" spans="1:20" ht="18" customHeight="1" x14ac:dyDescent="0.25">
      <c r="A24" s="299"/>
      <c r="B24" s="300">
        <v>42198</v>
      </c>
      <c r="C24" s="301">
        <v>40</v>
      </c>
      <c r="D24" s="302">
        <v>9.94</v>
      </c>
      <c r="E24" s="303">
        <v>0</v>
      </c>
      <c r="F24" s="302">
        <f t="shared" si="1"/>
        <v>397.59999999999997</v>
      </c>
      <c r="G24" s="300"/>
      <c r="H24" s="301"/>
      <c r="I24" s="302"/>
      <c r="J24" s="301"/>
      <c r="K24" s="302"/>
      <c r="L24" s="303"/>
      <c r="M24" s="302"/>
      <c r="N24" s="302"/>
      <c r="O24" s="304"/>
    </row>
    <row r="25" spans="1:20" ht="18" customHeight="1" x14ac:dyDescent="0.25">
      <c r="A25" s="299"/>
      <c r="B25" s="300">
        <v>42233</v>
      </c>
      <c r="C25" s="301">
        <v>110</v>
      </c>
      <c r="D25" s="302">
        <v>8.48</v>
      </c>
      <c r="E25" s="303">
        <v>0</v>
      </c>
      <c r="F25" s="302">
        <f t="shared" si="1"/>
        <v>932.80000000000007</v>
      </c>
      <c r="G25" s="300"/>
      <c r="H25" s="301"/>
      <c r="I25" s="302"/>
      <c r="J25" s="301"/>
      <c r="K25" s="302"/>
      <c r="L25" s="303"/>
      <c r="M25" s="302"/>
      <c r="N25" s="302"/>
      <c r="O25" s="304"/>
    </row>
    <row r="26" spans="1:20" ht="18" customHeight="1" x14ac:dyDescent="0.25">
      <c r="A26" s="299"/>
      <c r="B26" s="300">
        <v>42270</v>
      </c>
      <c r="C26" s="301">
        <v>150</v>
      </c>
      <c r="D26" s="302">
        <v>7.73</v>
      </c>
      <c r="E26" s="303">
        <v>0</v>
      </c>
      <c r="F26" s="302">
        <f t="shared" si="1"/>
        <v>1159.5</v>
      </c>
      <c r="G26" s="300"/>
      <c r="H26" s="301"/>
      <c r="I26" s="302"/>
      <c r="J26" s="301"/>
      <c r="K26" s="302"/>
      <c r="L26" s="303"/>
      <c r="M26" s="302"/>
      <c r="N26" s="302"/>
      <c r="O26" s="304"/>
    </row>
    <row r="27" spans="1:20" ht="18" customHeight="1" x14ac:dyDescent="0.25">
      <c r="A27" s="299"/>
      <c r="B27" s="305"/>
      <c r="C27" s="306">
        <f>SUM(C21:C26)</f>
        <v>380</v>
      </c>
      <c r="D27" s="307"/>
      <c r="E27" s="308"/>
      <c r="F27" s="307">
        <f>SUM(F21:F26)</f>
        <v>3325.3</v>
      </c>
      <c r="G27" s="308"/>
      <c r="H27" s="306">
        <f>SUM(H21:H26)</f>
        <v>380</v>
      </c>
      <c r="I27" s="307"/>
      <c r="J27" s="306"/>
      <c r="K27" s="307">
        <f>SUM(K21:K26)</f>
        <v>3347.8500000000004</v>
      </c>
      <c r="L27" s="308"/>
      <c r="M27" s="307">
        <f>SUM(M21:M26)</f>
        <v>14.45</v>
      </c>
      <c r="N27" s="307">
        <f>K27-F27</f>
        <v>22.550000000000182</v>
      </c>
      <c r="O27" s="309">
        <f>(N27+M27)/F27</f>
        <v>1.112681562565789E-2</v>
      </c>
    </row>
    <row r="28" spans="1:20" ht="18" customHeight="1" x14ac:dyDescent="0.25">
      <c r="A28" s="25"/>
      <c r="B28" s="149"/>
      <c r="C28" s="147"/>
      <c r="D28" s="148"/>
      <c r="E28" s="25"/>
      <c r="F28" s="148"/>
      <c r="G28" s="149"/>
      <c r="H28" s="147"/>
      <c r="I28" s="148"/>
      <c r="K28" s="148"/>
      <c r="L28" s="149"/>
      <c r="M28" s="148"/>
      <c r="N28" s="148"/>
      <c r="O28" s="150"/>
    </row>
    <row r="29" spans="1:20" ht="18" customHeight="1" x14ac:dyDescent="0.25">
      <c r="A29" s="299" t="s">
        <v>29</v>
      </c>
      <c r="B29" s="300">
        <v>42164</v>
      </c>
      <c r="C29" s="301">
        <v>5</v>
      </c>
      <c r="D29" s="302">
        <v>45.9</v>
      </c>
      <c r="E29" s="303"/>
      <c r="F29" s="302">
        <f>C29*D29</f>
        <v>229.5</v>
      </c>
      <c r="G29" s="300">
        <v>42195</v>
      </c>
      <c r="H29" s="301">
        <v>20</v>
      </c>
      <c r="I29" s="302">
        <v>46.15</v>
      </c>
      <c r="J29" s="301">
        <v>0.02</v>
      </c>
      <c r="K29" s="302">
        <f>H29*I29-J29</f>
        <v>922.98</v>
      </c>
      <c r="L29" s="303"/>
      <c r="M29" s="302"/>
      <c r="N29" s="302"/>
      <c r="O29" s="304"/>
    </row>
    <row r="30" spans="1:20" ht="18" customHeight="1" x14ac:dyDescent="0.25">
      <c r="A30" s="299"/>
      <c r="B30" s="300">
        <v>42184</v>
      </c>
      <c r="C30" s="301">
        <v>5</v>
      </c>
      <c r="D30" s="302">
        <v>44.5</v>
      </c>
      <c r="E30" s="303"/>
      <c r="F30" s="302">
        <f>C30*D30</f>
        <v>222.5</v>
      </c>
      <c r="G30" s="303"/>
      <c r="H30" s="301"/>
      <c r="I30" s="302"/>
      <c r="J30" s="301"/>
      <c r="K30" s="302"/>
      <c r="L30" s="303"/>
      <c r="M30" s="302"/>
      <c r="N30" s="302"/>
      <c r="O30" s="304"/>
    </row>
    <row r="31" spans="1:20" ht="18" customHeight="1" x14ac:dyDescent="0.25">
      <c r="A31" s="299"/>
      <c r="B31" s="300">
        <v>42184</v>
      </c>
      <c r="C31" s="301">
        <v>10</v>
      </c>
      <c r="D31" s="302">
        <v>44.35</v>
      </c>
      <c r="E31" s="303"/>
      <c r="F31" s="302">
        <f>C31*D31</f>
        <v>443.5</v>
      </c>
      <c r="G31" s="303"/>
      <c r="H31" s="301"/>
      <c r="I31" s="302"/>
      <c r="J31" s="301"/>
      <c r="K31" s="302"/>
      <c r="L31" s="303"/>
      <c r="M31" s="302"/>
      <c r="N31" s="302"/>
      <c r="O31" s="304"/>
    </row>
    <row r="32" spans="1:20" ht="18" customHeight="1" x14ac:dyDescent="0.25">
      <c r="A32" s="299"/>
      <c r="B32" s="305"/>
      <c r="C32" s="306">
        <f>SUM(C29:C31)</f>
        <v>20</v>
      </c>
      <c r="D32" s="307"/>
      <c r="E32" s="308"/>
      <c r="F32" s="307">
        <f>SUM(F29:F31)</f>
        <v>895.5</v>
      </c>
      <c r="G32" s="308"/>
      <c r="H32" s="306">
        <f>SUM(H29:H31)</f>
        <v>20</v>
      </c>
      <c r="I32" s="307"/>
      <c r="J32" s="306"/>
      <c r="K32" s="307">
        <f>SUM(K29:K31)</f>
        <v>922.98</v>
      </c>
      <c r="L32" s="308"/>
      <c r="M32" s="307"/>
      <c r="N32" s="307">
        <f>K32-F32</f>
        <v>27.480000000000018</v>
      </c>
      <c r="O32" s="309">
        <f>(N32+M32)/F32</f>
        <v>3.0686767169179251E-2</v>
      </c>
    </row>
    <row r="33" spans="1:16" ht="18" customHeight="1" x14ac:dyDescent="0.25">
      <c r="A33" s="25"/>
      <c r="B33" s="314"/>
      <c r="C33" s="315"/>
      <c r="D33" s="316"/>
      <c r="E33" s="25"/>
      <c r="F33" s="316"/>
      <c r="G33" s="314"/>
      <c r="H33" s="315"/>
      <c r="I33" s="316"/>
      <c r="K33" s="316"/>
      <c r="L33" s="314"/>
      <c r="M33" s="316"/>
      <c r="N33" s="316"/>
      <c r="O33" s="317"/>
    </row>
    <row r="34" spans="1:16" ht="18" customHeight="1" x14ac:dyDescent="0.25">
      <c r="A34" s="288" t="s">
        <v>11</v>
      </c>
      <c r="B34" s="289">
        <v>42150</v>
      </c>
      <c r="C34" s="290">
        <v>5</v>
      </c>
      <c r="D34" s="291">
        <v>169</v>
      </c>
      <c r="E34" s="291">
        <v>0</v>
      </c>
      <c r="F34" s="291">
        <f>C34*D34+E34</f>
        <v>845</v>
      </c>
      <c r="G34" s="289">
        <v>42186</v>
      </c>
      <c r="H34" s="290">
        <v>100</v>
      </c>
      <c r="I34" s="291">
        <v>167</v>
      </c>
      <c r="J34" s="291">
        <v>0.31</v>
      </c>
      <c r="K34" s="291">
        <f t="shared" ref="K34:K49" si="2">H34*I34-J34</f>
        <v>16699.689999999999</v>
      </c>
      <c r="L34" s="290"/>
      <c r="M34" s="290"/>
      <c r="N34" s="290"/>
      <c r="O34" s="293"/>
    </row>
    <row r="35" spans="1:16" ht="18" customHeight="1" x14ac:dyDescent="0.25">
      <c r="A35" s="334"/>
      <c r="B35" s="289">
        <v>42150</v>
      </c>
      <c r="C35" s="290">
        <v>10</v>
      </c>
      <c r="D35" s="291">
        <v>166.5</v>
      </c>
      <c r="E35" s="291">
        <v>0</v>
      </c>
      <c r="F35" s="291">
        <f t="shared" ref="F35:F54" si="3">C35*D35+E35</f>
        <v>1665</v>
      </c>
      <c r="G35" s="289">
        <v>42186</v>
      </c>
      <c r="H35" s="290">
        <v>100</v>
      </c>
      <c r="I35" s="291">
        <v>167</v>
      </c>
      <c r="J35" s="291">
        <v>0.31</v>
      </c>
      <c r="K35" s="291">
        <f t="shared" si="2"/>
        <v>16699.689999999999</v>
      </c>
      <c r="L35" s="290"/>
      <c r="M35" s="290"/>
      <c r="N35" s="290"/>
      <c r="O35" s="293"/>
    </row>
    <row r="36" spans="1:16" ht="18" customHeight="1" x14ac:dyDescent="0.25">
      <c r="A36" s="290"/>
      <c r="B36" s="289">
        <v>42150</v>
      </c>
      <c r="C36" s="290">
        <v>30</v>
      </c>
      <c r="D36" s="291">
        <v>165.4</v>
      </c>
      <c r="E36" s="291">
        <v>0</v>
      </c>
      <c r="F36" s="291">
        <f t="shared" si="3"/>
        <v>4962</v>
      </c>
      <c r="G36" s="289">
        <v>42186</v>
      </c>
      <c r="H36" s="290">
        <v>50</v>
      </c>
      <c r="I36" s="291">
        <v>168.5</v>
      </c>
      <c r="J36" s="291">
        <v>0.16</v>
      </c>
      <c r="K36" s="291">
        <f t="shared" si="2"/>
        <v>8424.84</v>
      </c>
      <c r="L36" s="290"/>
      <c r="M36" s="290"/>
      <c r="N36" s="290"/>
      <c r="O36" s="293"/>
    </row>
    <row r="37" spans="1:16" ht="18" customHeight="1" x14ac:dyDescent="0.25">
      <c r="A37" s="290"/>
      <c r="B37" s="289">
        <v>42150</v>
      </c>
      <c r="C37" s="290">
        <v>10</v>
      </c>
      <c r="D37" s="291">
        <v>164.85</v>
      </c>
      <c r="E37" s="291">
        <v>0</v>
      </c>
      <c r="F37" s="291">
        <f t="shared" si="3"/>
        <v>1648.5</v>
      </c>
      <c r="G37" s="289">
        <v>42236</v>
      </c>
      <c r="H37" s="290">
        <v>10</v>
      </c>
      <c r="I37" s="291">
        <v>133.19999999999999</v>
      </c>
      <c r="J37" s="291">
        <v>0.02</v>
      </c>
      <c r="K37" s="291">
        <f t="shared" si="2"/>
        <v>1331.98</v>
      </c>
      <c r="L37" s="290"/>
      <c r="M37" s="290"/>
      <c r="N37" s="290"/>
      <c r="O37" s="293"/>
    </row>
    <row r="38" spans="1:16" ht="18" customHeight="1" x14ac:dyDescent="0.25">
      <c r="A38" s="290"/>
      <c r="B38" s="289">
        <v>42186</v>
      </c>
      <c r="C38" s="290">
        <v>145</v>
      </c>
      <c r="D38" s="291">
        <v>166</v>
      </c>
      <c r="E38" s="291">
        <v>0</v>
      </c>
      <c r="F38" s="291">
        <f t="shared" si="3"/>
        <v>24070</v>
      </c>
      <c r="G38" s="289">
        <v>42240</v>
      </c>
      <c r="H38" s="290">
        <v>20</v>
      </c>
      <c r="I38" s="291">
        <v>130</v>
      </c>
      <c r="J38" s="291">
        <v>0.05</v>
      </c>
      <c r="K38" s="291">
        <f t="shared" si="2"/>
        <v>2599.9499999999998</v>
      </c>
      <c r="L38" s="290"/>
      <c r="M38" s="290"/>
      <c r="N38" s="290"/>
      <c r="O38" s="293"/>
    </row>
    <row r="39" spans="1:16" ht="18" customHeight="1" x14ac:dyDescent="0.25">
      <c r="A39" s="290"/>
      <c r="B39" s="289">
        <v>42186</v>
      </c>
      <c r="C39" s="290">
        <v>100</v>
      </c>
      <c r="D39" s="291">
        <v>164</v>
      </c>
      <c r="E39" s="291">
        <v>0</v>
      </c>
      <c r="F39" s="291">
        <f t="shared" si="3"/>
        <v>16400</v>
      </c>
      <c r="G39" s="289">
        <v>42270</v>
      </c>
      <c r="H39" s="290">
        <v>50</v>
      </c>
      <c r="I39" s="291">
        <v>141.19999999999999</v>
      </c>
      <c r="J39" s="291">
        <v>0.13</v>
      </c>
      <c r="K39" s="291">
        <f t="shared" si="2"/>
        <v>7059.869999999999</v>
      </c>
      <c r="L39" s="290"/>
      <c r="M39" s="290"/>
      <c r="N39" s="290"/>
      <c r="O39" s="293"/>
    </row>
    <row r="40" spans="1:16" ht="18" customHeight="1" x14ac:dyDescent="0.25">
      <c r="A40" s="290"/>
      <c r="B40" s="289">
        <v>42235</v>
      </c>
      <c r="C40" s="290">
        <v>10</v>
      </c>
      <c r="D40" s="291">
        <v>124</v>
      </c>
      <c r="E40" s="291">
        <v>0</v>
      </c>
      <c r="F40" s="291">
        <f t="shared" si="3"/>
        <v>1240</v>
      </c>
      <c r="G40" s="289">
        <v>42305</v>
      </c>
      <c r="H40" s="290">
        <v>150</v>
      </c>
      <c r="I40" s="291">
        <v>82</v>
      </c>
      <c r="J40" s="291">
        <v>0.23</v>
      </c>
      <c r="K40" s="291">
        <f t="shared" si="2"/>
        <v>12299.77</v>
      </c>
      <c r="L40" s="290"/>
      <c r="M40" s="290"/>
      <c r="N40" s="290"/>
      <c r="O40" s="293"/>
    </row>
    <row r="41" spans="1:16" ht="18" customHeight="1" x14ac:dyDescent="0.25">
      <c r="A41" s="290"/>
      <c r="B41" s="289">
        <v>42240</v>
      </c>
      <c r="C41" s="290">
        <v>20</v>
      </c>
      <c r="D41" s="291">
        <v>123</v>
      </c>
      <c r="E41" s="291">
        <v>0</v>
      </c>
      <c r="F41" s="291">
        <f t="shared" si="3"/>
        <v>2460</v>
      </c>
      <c r="G41" s="289">
        <v>42307</v>
      </c>
      <c r="H41" s="290">
        <v>120</v>
      </c>
      <c r="I41" s="291">
        <v>85.8</v>
      </c>
      <c r="J41" s="291">
        <v>7.14</v>
      </c>
      <c r="K41" s="291">
        <f t="shared" si="2"/>
        <v>10288.86</v>
      </c>
      <c r="L41" s="290"/>
      <c r="M41" s="290"/>
      <c r="N41" s="290"/>
      <c r="O41" s="290"/>
    </row>
    <row r="42" spans="1:16" ht="18" customHeight="1" x14ac:dyDescent="0.25">
      <c r="A42" s="290"/>
      <c r="B42" s="289">
        <v>42271</v>
      </c>
      <c r="C42" s="290">
        <v>50</v>
      </c>
      <c r="D42" s="291">
        <v>123.05</v>
      </c>
      <c r="E42" s="291">
        <v>0</v>
      </c>
      <c r="F42" s="291">
        <f t="shared" si="3"/>
        <v>6152.5</v>
      </c>
      <c r="G42" s="289">
        <v>42313</v>
      </c>
      <c r="H42" s="290">
        <v>80</v>
      </c>
      <c r="I42" s="291">
        <v>83</v>
      </c>
      <c r="J42" s="291">
        <v>0.12</v>
      </c>
      <c r="K42" s="291">
        <f t="shared" si="2"/>
        <v>6639.88</v>
      </c>
      <c r="L42" s="290"/>
      <c r="M42" s="290"/>
      <c r="N42" s="290"/>
      <c r="O42" s="290"/>
    </row>
    <row r="43" spans="1:16" ht="18" customHeight="1" x14ac:dyDescent="0.25">
      <c r="A43" s="290"/>
      <c r="B43" s="289">
        <v>42271</v>
      </c>
      <c r="C43" s="290">
        <v>50</v>
      </c>
      <c r="D43" s="291">
        <v>138.5</v>
      </c>
      <c r="E43" s="291">
        <v>0</v>
      </c>
      <c r="F43" s="291">
        <f t="shared" si="3"/>
        <v>6925</v>
      </c>
      <c r="G43" s="289">
        <v>42320</v>
      </c>
      <c r="H43" s="290">
        <v>200</v>
      </c>
      <c r="I43" s="291">
        <v>73.5</v>
      </c>
      <c r="J43" s="291">
        <v>0.27</v>
      </c>
      <c r="K43" s="291">
        <f t="shared" si="2"/>
        <v>14699.73</v>
      </c>
      <c r="L43" s="290"/>
      <c r="M43" s="290"/>
      <c r="N43" s="290"/>
      <c r="O43" s="290"/>
    </row>
    <row r="44" spans="1:16" ht="18" customHeight="1" x14ac:dyDescent="0.25">
      <c r="A44" s="290"/>
      <c r="B44" s="289">
        <v>42277</v>
      </c>
      <c r="C44" s="290">
        <v>10</v>
      </c>
      <c r="D44" s="291">
        <v>101.5</v>
      </c>
      <c r="E44" s="291">
        <v>0</v>
      </c>
      <c r="F44" s="291">
        <f t="shared" si="3"/>
        <v>1015</v>
      </c>
      <c r="G44" s="289">
        <v>42327</v>
      </c>
      <c r="H44" s="290">
        <v>200</v>
      </c>
      <c r="I44" s="291">
        <v>73.95</v>
      </c>
      <c r="J44" s="291">
        <v>0.27</v>
      </c>
      <c r="K44" s="291">
        <f t="shared" si="2"/>
        <v>14789.73</v>
      </c>
      <c r="L44" s="290"/>
      <c r="M44" s="290"/>
      <c r="N44" s="290"/>
      <c r="O44" s="290"/>
    </row>
    <row r="45" spans="1:16" ht="18" customHeight="1" x14ac:dyDescent="0.25">
      <c r="A45" s="290"/>
      <c r="B45" s="289">
        <v>42278</v>
      </c>
      <c r="C45" s="290">
        <v>10</v>
      </c>
      <c r="D45" s="291">
        <v>93.95</v>
      </c>
      <c r="E45" s="291">
        <v>0</v>
      </c>
      <c r="F45" s="291">
        <f t="shared" si="3"/>
        <v>939.5</v>
      </c>
      <c r="G45" s="289">
        <v>42339</v>
      </c>
      <c r="H45" s="290">
        <v>60</v>
      </c>
      <c r="I45" s="291">
        <v>89.49</v>
      </c>
      <c r="J45" s="291">
        <v>0.1</v>
      </c>
      <c r="K45" s="291">
        <f t="shared" si="2"/>
        <v>5369.2999999999993</v>
      </c>
      <c r="L45" s="290"/>
      <c r="M45" s="290"/>
      <c r="N45" s="290"/>
      <c r="O45" s="290"/>
    </row>
    <row r="46" spans="1:16" ht="18" customHeight="1" x14ac:dyDescent="0.25">
      <c r="A46" s="290"/>
      <c r="B46" s="289">
        <v>42286</v>
      </c>
      <c r="C46" s="290">
        <v>30</v>
      </c>
      <c r="D46" s="291">
        <v>89.5</v>
      </c>
      <c r="E46" s="291">
        <v>0</v>
      </c>
      <c r="F46" s="291">
        <f t="shared" si="3"/>
        <v>2685</v>
      </c>
      <c r="G46" s="289">
        <v>42340</v>
      </c>
      <c r="H46" s="290">
        <v>60</v>
      </c>
      <c r="I46" s="291">
        <v>93.79</v>
      </c>
      <c r="J46" s="291">
        <v>0.1</v>
      </c>
      <c r="K46" s="291">
        <f t="shared" si="2"/>
        <v>5627.3</v>
      </c>
      <c r="L46" s="290"/>
      <c r="M46" s="290"/>
      <c r="N46" s="290"/>
      <c r="O46" s="290"/>
    </row>
    <row r="47" spans="1:16" ht="18" customHeight="1" x14ac:dyDescent="0.25">
      <c r="A47" s="290"/>
      <c r="B47" s="289">
        <v>42299</v>
      </c>
      <c r="C47" s="290">
        <v>50</v>
      </c>
      <c r="D47" s="291">
        <v>74.3</v>
      </c>
      <c r="E47" s="291">
        <v>0</v>
      </c>
      <c r="F47" s="291">
        <f t="shared" si="3"/>
        <v>3715</v>
      </c>
      <c r="G47" s="289">
        <v>42347</v>
      </c>
      <c r="H47" s="290">
        <v>60</v>
      </c>
      <c r="I47" s="291">
        <v>81.849999999999994</v>
      </c>
      <c r="J47" s="291">
        <v>0.09</v>
      </c>
      <c r="K47" s="291">
        <f t="shared" si="2"/>
        <v>4910.91</v>
      </c>
      <c r="L47" s="290"/>
      <c r="M47" s="290"/>
      <c r="N47" s="290"/>
      <c r="O47" s="290"/>
    </row>
    <row r="48" spans="1:16" ht="18" customHeight="1" x14ac:dyDescent="0.25">
      <c r="A48" s="290"/>
      <c r="B48" s="289">
        <v>42305</v>
      </c>
      <c r="C48" s="290">
        <v>150</v>
      </c>
      <c r="D48" s="291">
        <v>79.5</v>
      </c>
      <c r="E48" s="291">
        <v>0</v>
      </c>
      <c r="F48" s="291">
        <f t="shared" si="3"/>
        <v>11925</v>
      </c>
      <c r="G48" s="289">
        <v>42349</v>
      </c>
      <c r="H48" s="290">
        <v>220</v>
      </c>
      <c r="I48" s="291">
        <v>53.95</v>
      </c>
      <c r="J48" s="291">
        <v>0.22</v>
      </c>
      <c r="K48" s="291">
        <f t="shared" si="2"/>
        <v>11868.78</v>
      </c>
      <c r="L48" s="290"/>
      <c r="M48" s="291"/>
      <c r="N48" s="290"/>
      <c r="O48" s="290"/>
      <c r="P48" s="142"/>
    </row>
    <row r="49" spans="1:16" ht="18" customHeight="1" x14ac:dyDescent="0.25">
      <c r="A49" s="290"/>
      <c r="B49" s="289">
        <v>42310</v>
      </c>
      <c r="C49" s="290">
        <v>120</v>
      </c>
      <c r="D49" s="291">
        <v>82</v>
      </c>
      <c r="E49" s="291">
        <v>6.95</v>
      </c>
      <c r="F49" s="291">
        <f t="shared" si="3"/>
        <v>9846.9500000000007</v>
      </c>
      <c r="G49" s="289">
        <v>42354</v>
      </c>
      <c r="H49" s="290">
        <v>220</v>
      </c>
      <c r="I49" s="291">
        <v>59.47</v>
      </c>
      <c r="J49" s="291">
        <v>0.24</v>
      </c>
      <c r="K49" s="291">
        <f t="shared" si="2"/>
        <v>13083.16</v>
      </c>
      <c r="L49" s="290"/>
      <c r="M49" s="290"/>
      <c r="N49" s="290"/>
      <c r="O49" s="290"/>
      <c r="P49" s="142"/>
    </row>
    <row r="50" spans="1:16" ht="18" customHeight="1" x14ac:dyDescent="0.25">
      <c r="A50" s="290"/>
      <c r="B50" s="289">
        <v>42318</v>
      </c>
      <c r="C50" s="290">
        <v>80</v>
      </c>
      <c r="D50" s="291">
        <v>77.12</v>
      </c>
      <c r="E50" s="291">
        <v>0</v>
      </c>
      <c r="F50" s="291">
        <f t="shared" si="3"/>
        <v>6169.6</v>
      </c>
      <c r="G50" s="289"/>
      <c r="H50" s="290"/>
      <c r="I50" s="291"/>
      <c r="J50" s="291"/>
      <c r="K50" s="291"/>
      <c r="L50" s="290"/>
      <c r="M50" s="290"/>
      <c r="N50" s="290"/>
      <c r="O50" s="290"/>
      <c r="P50" s="142" t="s">
        <v>134</v>
      </c>
    </row>
    <row r="51" spans="1:16" ht="18" customHeight="1" x14ac:dyDescent="0.25">
      <c r="A51" s="290"/>
      <c r="B51" s="289">
        <v>42320</v>
      </c>
      <c r="C51" s="290">
        <v>200</v>
      </c>
      <c r="D51" s="291">
        <v>73.010000000000005</v>
      </c>
      <c r="E51" s="291">
        <v>0</v>
      </c>
      <c r="F51" s="291">
        <f t="shared" si="3"/>
        <v>14602.000000000002</v>
      </c>
      <c r="G51" s="289"/>
      <c r="H51" s="290"/>
      <c r="I51" s="291"/>
      <c r="J51" s="291"/>
      <c r="K51" s="291"/>
      <c r="L51" s="290"/>
      <c r="M51" s="290"/>
      <c r="N51" s="290"/>
      <c r="O51" s="290"/>
    </row>
    <row r="52" spans="1:16" ht="18" customHeight="1" x14ac:dyDescent="0.25">
      <c r="A52" s="290"/>
      <c r="B52" s="289">
        <v>42327</v>
      </c>
      <c r="C52" s="290">
        <v>200</v>
      </c>
      <c r="D52" s="291">
        <v>73.11</v>
      </c>
      <c r="E52" s="291">
        <v>0</v>
      </c>
      <c r="F52" s="291">
        <f t="shared" si="3"/>
        <v>14622</v>
      </c>
      <c r="G52" s="290"/>
      <c r="H52" s="290"/>
      <c r="I52" s="291"/>
      <c r="J52" s="291"/>
      <c r="K52" s="291"/>
      <c r="L52" s="290"/>
      <c r="M52" s="290"/>
      <c r="N52" s="290"/>
      <c r="O52" s="290"/>
    </row>
    <row r="53" spans="1:16" ht="18" customHeight="1" x14ac:dyDescent="0.25">
      <c r="A53" s="290"/>
      <c r="B53" s="289">
        <v>42339</v>
      </c>
      <c r="C53" s="290">
        <v>60</v>
      </c>
      <c r="D53" s="291">
        <v>89.38</v>
      </c>
      <c r="E53" s="291">
        <v>0</v>
      </c>
      <c r="F53" s="291">
        <f t="shared" si="3"/>
        <v>5362.7999999999993</v>
      </c>
      <c r="G53" s="290"/>
      <c r="H53" s="290"/>
      <c r="I53" s="291"/>
      <c r="J53" s="291"/>
      <c r="K53" s="291"/>
      <c r="L53" s="290"/>
      <c r="M53" s="290"/>
      <c r="N53" s="290"/>
      <c r="O53" s="290"/>
    </row>
    <row r="54" spans="1:16" ht="18" customHeight="1" x14ac:dyDescent="0.25">
      <c r="A54" s="290"/>
      <c r="B54" s="289">
        <v>42340</v>
      </c>
      <c r="C54" s="290">
        <v>60</v>
      </c>
      <c r="D54" s="291">
        <v>93.06</v>
      </c>
      <c r="E54" s="291">
        <v>0</v>
      </c>
      <c r="F54" s="291">
        <f t="shared" si="3"/>
        <v>5583.6</v>
      </c>
      <c r="G54" s="290"/>
      <c r="H54" s="290"/>
      <c r="I54" s="291"/>
      <c r="J54" s="291"/>
      <c r="K54" s="291"/>
      <c r="L54" s="290"/>
      <c r="M54" s="290"/>
      <c r="N54" s="290"/>
      <c r="O54" s="290"/>
    </row>
    <row r="55" spans="1:16" ht="18" customHeight="1" x14ac:dyDescent="0.25">
      <c r="A55" s="290"/>
      <c r="B55" s="289">
        <v>42342</v>
      </c>
      <c r="C55" s="290">
        <v>10</v>
      </c>
      <c r="D55" s="291">
        <v>80.989999999999995</v>
      </c>
      <c r="E55" s="291">
        <v>0</v>
      </c>
      <c r="F55" s="291">
        <f>C55*D55+E55</f>
        <v>809.9</v>
      </c>
      <c r="G55" s="290"/>
      <c r="H55" s="290"/>
      <c r="I55" s="291"/>
      <c r="J55" s="291"/>
      <c r="K55" s="291"/>
      <c r="L55" s="290"/>
      <c r="M55" s="290"/>
      <c r="N55" s="290"/>
      <c r="O55" s="290"/>
    </row>
    <row r="56" spans="1:16" ht="18" customHeight="1" x14ac:dyDescent="0.25">
      <c r="A56" s="290"/>
      <c r="B56" s="289">
        <v>42348</v>
      </c>
      <c r="C56" s="290">
        <v>70</v>
      </c>
      <c r="D56" s="291">
        <v>58.01</v>
      </c>
      <c r="E56" s="291">
        <v>0</v>
      </c>
      <c r="F56" s="291">
        <f>C56*D56+E56</f>
        <v>4060.7</v>
      </c>
      <c r="G56" s="290"/>
      <c r="H56" s="290"/>
      <c r="I56" s="291"/>
      <c r="J56" s="291"/>
      <c r="K56" s="291"/>
      <c r="L56" s="290"/>
      <c r="M56" s="290"/>
      <c r="N56" s="290"/>
      <c r="O56" s="290"/>
    </row>
    <row r="57" spans="1:16" ht="18" customHeight="1" x14ac:dyDescent="0.25">
      <c r="A57" s="290"/>
      <c r="B57" s="289">
        <v>42354</v>
      </c>
      <c r="C57" s="290">
        <v>220</v>
      </c>
      <c r="D57" s="291">
        <v>59.15</v>
      </c>
      <c r="E57" s="291">
        <v>0</v>
      </c>
      <c r="F57" s="291">
        <f>C57*D57+E57</f>
        <v>13013</v>
      </c>
      <c r="G57" s="290"/>
      <c r="H57" s="290"/>
      <c r="I57" s="291"/>
      <c r="J57" s="291"/>
      <c r="K57" s="291"/>
      <c r="L57" s="290"/>
      <c r="M57" s="290"/>
      <c r="N57" s="290"/>
      <c r="O57" s="290"/>
    </row>
    <row r="58" spans="1:16" ht="18" customHeight="1" x14ac:dyDescent="0.25">
      <c r="A58" s="293"/>
      <c r="B58" s="293"/>
      <c r="C58" s="293">
        <f>SUM(C34:C57)</f>
        <v>1700</v>
      </c>
      <c r="D58" s="296"/>
      <c r="E58" s="296"/>
      <c r="F58" s="296">
        <f>SUM(F34:F57)</f>
        <v>160718.04999999999</v>
      </c>
      <c r="G58" s="293"/>
      <c r="H58" s="293">
        <f>SUM(H34:H53)</f>
        <v>1700</v>
      </c>
      <c r="I58" s="296"/>
      <c r="J58" s="296"/>
      <c r="K58" s="296">
        <f>SUM(K34:K53)</f>
        <v>152393.44000000003</v>
      </c>
      <c r="L58" s="293"/>
      <c r="M58" s="293"/>
      <c r="N58" s="296">
        <f>K58-F58</f>
        <v>-8324.6099999999569</v>
      </c>
      <c r="O58" s="298">
        <f>N58/F58</f>
        <v>-5.1796360147475393E-2</v>
      </c>
    </row>
    <row r="59" spans="1:16" ht="18" customHeight="1" x14ac:dyDescent="0.25">
      <c r="B59" s="314"/>
      <c r="C59" s="315"/>
      <c r="D59" s="316"/>
      <c r="E59" s="316"/>
      <c r="F59" s="316"/>
      <c r="G59" s="314"/>
      <c r="H59" s="315"/>
      <c r="I59" s="316"/>
      <c r="K59" s="316"/>
      <c r="L59" s="314"/>
      <c r="M59" s="316"/>
      <c r="N59" s="316"/>
      <c r="O59" s="317"/>
      <c r="P59" s="142" t="s">
        <v>134</v>
      </c>
    </row>
    <row r="60" spans="1:16" ht="18" customHeight="1" x14ac:dyDescent="0.25">
      <c r="A60" s="299" t="s">
        <v>30</v>
      </c>
      <c r="B60" s="300">
        <v>42164</v>
      </c>
      <c r="C60" s="301">
        <v>10</v>
      </c>
      <c r="D60" s="302">
        <v>141.4</v>
      </c>
      <c r="E60" s="302"/>
      <c r="F60" s="302">
        <f>C60*D60</f>
        <v>1414</v>
      </c>
      <c r="G60" s="300">
        <v>42216</v>
      </c>
      <c r="H60" s="301">
        <v>10</v>
      </c>
      <c r="I60" s="302">
        <v>143.35</v>
      </c>
      <c r="J60" s="302">
        <v>0.03</v>
      </c>
      <c r="K60" s="302">
        <f>H60*I60-J60</f>
        <v>1433.47</v>
      </c>
      <c r="L60" s="303"/>
      <c r="M60" s="302"/>
      <c r="N60" s="302"/>
      <c r="O60" s="304"/>
    </row>
    <row r="61" spans="1:16" ht="18" customHeight="1" x14ac:dyDescent="0.25">
      <c r="A61" s="318"/>
      <c r="B61" s="319"/>
      <c r="C61" s="320">
        <f>SUM(C60)</f>
        <v>10</v>
      </c>
      <c r="D61" s="321"/>
      <c r="E61" s="321"/>
      <c r="F61" s="321">
        <f>SUM(F60)</f>
        <v>1414</v>
      </c>
      <c r="G61" s="322"/>
      <c r="H61" s="320">
        <f>SUM(H60)</f>
        <v>10</v>
      </c>
      <c r="I61" s="321"/>
      <c r="J61" s="320"/>
      <c r="K61" s="321">
        <f>SUM(K60)</f>
        <v>1433.47</v>
      </c>
      <c r="L61" s="322"/>
      <c r="M61" s="321"/>
      <c r="N61" s="321">
        <f>K61-F61</f>
        <v>19.470000000000027</v>
      </c>
      <c r="O61" s="323">
        <f>(N61+M61)/F61</f>
        <v>1.3769448373408788E-2</v>
      </c>
    </row>
    <row r="62" spans="1:16" ht="18" customHeight="1" x14ac:dyDescent="0.25">
      <c r="B62" s="314"/>
      <c r="C62" s="315"/>
      <c r="D62" s="316"/>
      <c r="E62" s="25"/>
      <c r="F62" s="316"/>
      <c r="G62" s="314"/>
      <c r="H62" s="315"/>
      <c r="I62" s="316"/>
      <c r="K62" s="316"/>
      <c r="L62" s="314"/>
      <c r="M62" s="316"/>
      <c r="N62" s="316"/>
      <c r="O62" s="317"/>
    </row>
    <row r="63" spans="1:16" ht="18" customHeight="1" x14ac:dyDescent="0.25">
      <c r="A63" s="299" t="s">
        <v>52</v>
      </c>
      <c r="B63" s="300">
        <v>42213</v>
      </c>
      <c r="C63" s="301">
        <v>25</v>
      </c>
      <c r="D63" s="302">
        <v>84.9</v>
      </c>
      <c r="E63" s="303"/>
      <c r="F63" s="302">
        <v>2122.5</v>
      </c>
      <c r="G63" s="300">
        <v>42221</v>
      </c>
      <c r="H63" s="301">
        <v>30</v>
      </c>
      <c r="I63" s="302">
        <v>84.23</v>
      </c>
      <c r="J63" s="302">
        <v>0</v>
      </c>
      <c r="K63" s="302">
        <v>2526.85</v>
      </c>
      <c r="L63" s="303"/>
      <c r="M63" s="302"/>
      <c r="N63" s="302"/>
      <c r="O63" s="304"/>
    </row>
    <row r="64" spans="1:16" ht="18" customHeight="1" x14ac:dyDescent="0.25">
      <c r="A64" s="299"/>
      <c r="B64" s="300">
        <v>42213</v>
      </c>
      <c r="C64" s="301">
        <v>5</v>
      </c>
      <c r="D64" s="302">
        <v>84.25</v>
      </c>
      <c r="E64" s="303"/>
      <c r="F64" s="302">
        <v>421.25</v>
      </c>
      <c r="G64" s="300">
        <v>42263</v>
      </c>
      <c r="H64" s="301">
        <v>40</v>
      </c>
      <c r="I64" s="302">
        <v>85</v>
      </c>
      <c r="J64" s="301">
        <v>0.06</v>
      </c>
      <c r="K64" s="302">
        <v>3399.94</v>
      </c>
      <c r="L64" s="303"/>
      <c r="M64" s="302"/>
      <c r="N64" s="302"/>
      <c r="O64" s="304"/>
    </row>
    <row r="65" spans="1:16" ht="18" customHeight="1" x14ac:dyDescent="0.25">
      <c r="A65" s="299"/>
      <c r="B65" s="300">
        <v>42214</v>
      </c>
      <c r="C65" s="301">
        <v>10</v>
      </c>
      <c r="D65" s="302">
        <v>83.2</v>
      </c>
      <c r="E65" s="303"/>
      <c r="F65" s="302">
        <v>832</v>
      </c>
      <c r="G65" s="303"/>
      <c r="H65" s="301"/>
      <c r="I65" s="302"/>
      <c r="J65" s="301"/>
      <c r="K65" s="302"/>
      <c r="L65" s="303"/>
      <c r="M65" s="302"/>
      <c r="N65" s="302"/>
      <c r="O65" s="304"/>
    </row>
    <row r="66" spans="1:16" ht="18" customHeight="1" x14ac:dyDescent="0.25">
      <c r="A66" s="299"/>
      <c r="B66" s="300">
        <v>42215</v>
      </c>
      <c r="C66" s="301">
        <v>5</v>
      </c>
      <c r="D66" s="302">
        <v>82.25</v>
      </c>
      <c r="E66" s="303"/>
      <c r="F66" s="302">
        <v>411.25</v>
      </c>
      <c r="G66" s="303"/>
      <c r="H66" s="301"/>
      <c r="I66" s="302"/>
      <c r="J66" s="301"/>
      <c r="K66" s="302"/>
      <c r="L66" s="303"/>
      <c r="M66" s="302"/>
      <c r="N66" s="302"/>
      <c r="O66" s="304"/>
    </row>
    <row r="67" spans="1:16" ht="18" customHeight="1" x14ac:dyDescent="0.25">
      <c r="A67" s="299"/>
      <c r="B67" s="300">
        <v>42220</v>
      </c>
      <c r="C67" s="301">
        <v>10</v>
      </c>
      <c r="D67" s="302">
        <v>81.349999999999994</v>
      </c>
      <c r="E67" s="303"/>
      <c r="F67" s="302">
        <v>813.5</v>
      </c>
      <c r="G67" s="303"/>
      <c r="H67" s="301"/>
      <c r="I67" s="302"/>
      <c r="J67" s="301"/>
      <c r="K67" s="302"/>
      <c r="L67" s="303"/>
      <c r="M67" s="302"/>
      <c r="N67" s="302"/>
      <c r="O67" s="304"/>
    </row>
    <row r="68" spans="1:16" ht="18" customHeight="1" x14ac:dyDescent="0.25">
      <c r="A68" s="299"/>
      <c r="B68" s="300">
        <v>42220</v>
      </c>
      <c r="C68" s="301">
        <v>5</v>
      </c>
      <c r="D68" s="302">
        <v>82.4</v>
      </c>
      <c r="E68" s="303"/>
      <c r="F68" s="302">
        <v>412</v>
      </c>
      <c r="G68" s="303"/>
      <c r="H68" s="301"/>
      <c r="I68" s="302"/>
      <c r="J68" s="301"/>
      <c r="K68" s="302"/>
      <c r="L68" s="303"/>
      <c r="M68" s="302"/>
      <c r="N68" s="302"/>
      <c r="O68" s="304"/>
    </row>
    <row r="69" spans="1:16" ht="18" customHeight="1" x14ac:dyDescent="0.25">
      <c r="A69" s="299"/>
      <c r="B69" s="300">
        <v>42221</v>
      </c>
      <c r="C69" s="301">
        <v>10</v>
      </c>
      <c r="D69" s="302">
        <v>80.7</v>
      </c>
      <c r="E69" s="303"/>
      <c r="F69" s="302">
        <v>807</v>
      </c>
      <c r="G69" s="303"/>
      <c r="H69" s="301"/>
      <c r="I69" s="302"/>
      <c r="J69" s="301"/>
      <c r="K69" s="302"/>
      <c r="L69" s="303"/>
      <c r="M69" s="302"/>
      <c r="N69" s="302"/>
      <c r="O69" s="304"/>
    </row>
    <row r="70" spans="1:16" ht="18" customHeight="1" x14ac:dyDescent="0.25">
      <c r="A70" s="318"/>
      <c r="B70" s="322"/>
      <c r="C70" s="320">
        <v>70</v>
      </c>
      <c r="D70" s="321"/>
      <c r="E70" s="322"/>
      <c r="F70" s="321">
        <f>SUM(F63:F69)</f>
        <v>5819.5</v>
      </c>
      <c r="G70" s="322"/>
      <c r="H70" s="320">
        <v>70</v>
      </c>
      <c r="I70" s="321"/>
      <c r="J70" s="320"/>
      <c r="K70" s="321">
        <f>SUM(K63:K64)</f>
        <v>5926.79</v>
      </c>
      <c r="L70" s="322"/>
      <c r="M70" s="321"/>
      <c r="N70" s="321">
        <f>K70-F70</f>
        <v>107.28999999999996</v>
      </c>
      <c r="O70" s="323">
        <f>N70/F70</f>
        <v>1.843629177764412E-2</v>
      </c>
    </row>
    <row r="71" spans="1:16" ht="18" customHeight="1" x14ac:dyDescent="0.25">
      <c r="B71" s="314"/>
      <c r="C71" s="315"/>
      <c r="D71" s="316"/>
      <c r="E71" s="316"/>
      <c r="F71" s="316"/>
      <c r="G71" s="314"/>
      <c r="H71" s="315"/>
      <c r="I71" s="316"/>
      <c r="K71" s="316"/>
      <c r="L71" s="314"/>
      <c r="M71" s="316"/>
      <c r="N71" s="316"/>
      <c r="O71" s="317"/>
    </row>
    <row r="72" spans="1:16" ht="18" customHeight="1" x14ac:dyDescent="0.25">
      <c r="A72" s="299" t="s">
        <v>8</v>
      </c>
      <c r="B72" s="300">
        <v>42145</v>
      </c>
      <c r="C72" s="301">
        <v>50</v>
      </c>
      <c r="D72" s="302">
        <v>61.7</v>
      </c>
      <c r="E72" s="302"/>
      <c r="F72" s="302">
        <f t="shared" ref="F72:F82" si="4">C72*D72</f>
        <v>3085</v>
      </c>
      <c r="G72" s="300">
        <v>42187</v>
      </c>
      <c r="H72" s="301">
        <v>300</v>
      </c>
      <c r="I72" s="302">
        <v>57.78</v>
      </c>
      <c r="J72" s="302">
        <v>0.32</v>
      </c>
      <c r="K72" s="302">
        <f>H72*I72-J72</f>
        <v>17333.68</v>
      </c>
      <c r="L72" s="300">
        <v>42185</v>
      </c>
      <c r="M72" s="302">
        <v>44.61</v>
      </c>
      <c r="N72" s="302"/>
      <c r="O72" s="304"/>
      <c r="P72" s="142" t="s">
        <v>134</v>
      </c>
    </row>
    <row r="73" spans="1:16" ht="18" customHeight="1" x14ac:dyDescent="0.25">
      <c r="A73" s="299"/>
      <c r="B73" s="300">
        <v>42146</v>
      </c>
      <c r="C73" s="301">
        <v>10</v>
      </c>
      <c r="D73" s="302">
        <v>61.37</v>
      </c>
      <c r="E73" s="302"/>
      <c r="F73" s="302">
        <f t="shared" si="4"/>
        <v>613.69999999999993</v>
      </c>
      <c r="G73" s="300">
        <v>42216</v>
      </c>
      <c r="H73" s="301">
        <v>300</v>
      </c>
      <c r="I73" s="302">
        <v>62</v>
      </c>
      <c r="J73" s="301">
        <v>0.34</v>
      </c>
      <c r="K73" s="302">
        <f>H73*I73-J73</f>
        <v>18599.66</v>
      </c>
      <c r="L73" s="303"/>
      <c r="M73" s="302"/>
      <c r="N73" s="302"/>
      <c r="O73" s="304"/>
    </row>
    <row r="74" spans="1:16" ht="18" customHeight="1" x14ac:dyDescent="0.25">
      <c r="A74" s="299"/>
      <c r="B74" s="300">
        <v>42146</v>
      </c>
      <c r="C74" s="301">
        <v>20</v>
      </c>
      <c r="D74" s="302">
        <v>61.12</v>
      </c>
      <c r="E74" s="302"/>
      <c r="F74" s="302">
        <f t="shared" si="4"/>
        <v>1222.3999999999999</v>
      </c>
      <c r="G74" s="303"/>
      <c r="H74" s="301"/>
      <c r="I74" s="302"/>
      <c r="J74" s="302"/>
      <c r="K74" s="302"/>
      <c r="L74" s="303"/>
      <c r="M74" s="302"/>
      <c r="N74" s="302"/>
      <c r="O74" s="304"/>
    </row>
    <row r="75" spans="1:16" ht="18" customHeight="1" x14ac:dyDescent="0.25">
      <c r="A75" s="299"/>
      <c r="B75" s="300">
        <v>42146</v>
      </c>
      <c r="C75" s="301">
        <v>20</v>
      </c>
      <c r="D75" s="302">
        <v>61.1</v>
      </c>
      <c r="E75" s="302"/>
      <c r="F75" s="302">
        <f t="shared" si="4"/>
        <v>1222</v>
      </c>
      <c r="G75" s="303"/>
      <c r="H75" s="301"/>
      <c r="I75" s="302"/>
      <c r="J75" s="301"/>
      <c r="K75" s="302"/>
      <c r="L75" s="303"/>
      <c r="M75" s="302"/>
      <c r="N75" s="302"/>
      <c r="O75" s="304"/>
    </row>
    <row r="76" spans="1:16" ht="18" customHeight="1" x14ac:dyDescent="0.25">
      <c r="A76" s="299"/>
      <c r="B76" s="300">
        <v>42146</v>
      </c>
      <c r="C76" s="301">
        <v>10</v>
      </c>
      <c r="D76" s="302">
        <v>60.8</v>
      </c>
      <c r="E76" s="302"/>
      <c r="F76" s="302">
        <f t="shared" si="4"/>
        <v>608</v>
      </c>
      <c r="G76" s="303"/>
      <c r="H76" s="301"/>
      <c r="I76" s="302"/>
      <c r="J76" s="302"/>
      <c r="K76" s="302"/>
      <c r="L76" s="303"/>
      <c r="M76" s="302"/>
      <c r="N76" s="302"/>
      <c r="O76" s="304"/>
    </row>
    <row r="77" spans="1:16" ht="18" customHeight="1" x14ac:dyDescent="0.25">
      <c r="A77" s="299"/>
      <c r="B77" s="300">
        <v>42146</v>
      </c>
      <c r="C77" s="301">
        <v>20</v>
      </c>
      <c r="D77" s="302">
        <v>60.7</v>
      </c>
      <c r="E77" s="302"/>
      <c r="F77" s="302">
        <f t="shared" si="4"/>
        <v>1214</v>
      </c>
      <c r="G77" s="303"/>
      <c r="H77" s="301"/>
      <c r="I77" s="302"/>
      <c r="J77" s="302"/>
      <c r="K77" s="302"/>
      <c r="L77" s="303"/>
      <c r="M77" s="302"/>
      <c r="N77" s="302"/>
      <c r="O77" s="304"/>
      <c r="P77" s="142" t="s">
        <v>134</v>
      </c>
    </row>
    <row r="78" spans="1:16" ht="18" customHeight="1" x14ac:dyDescent="0.25">
      <c r="A78" s="299"/>
      <c r="B78" s="300">
        <v>42150</v>
      </c>
      <c r="C78" s="301">
        <v>20</v>
      </c>
      <c r="D78" s="302">
        <v>60.6</v>
      </c>
      <c r="E78" s="302"/>
      <c r="F78" s="302">
        <f t="shared" si="4"/>
        <v>1212</v>
      </c>
      <c r="G78" s="303"/>
      <c r="H78" s="301"/>
      <c r="I78" s="302"/>
      <c r="J78" s="302"/>
      <c r="K78" s="302"/>
      <c r="L78" s="303"/>
      <c r="M78" s="302"/>
      <c r="N78" s="302"/>
      <c r="O78" s="304"/>
    </row>
    <row r="79" spans="1:16" ht="18" customHeight="1" x14ac:dyDescent="0.25">
      <c r="A79" s="299"/>
      <c r="B79" s="300">
        <v>42152</v>
      </c>
      <c r="C79" s="301">
        <v>30</v>
      </c>
      <c r="D79" s="302">
        <v>60.33</v>
      </c>
      <c r="E79" s="302"/>
      <c r="F79" s="302">
        <f t="shared" si="4"/>
        <v>1809.8999999999999</v>
      </c>
      <c r="G79" s="303"/>
      <c r="H79" s="301"/>
      <c r="I79" s="302"/>
      <c r="J79" s="302"/>
      <c r="K79" s="302"/>
      <c r="L79" s="303"/>
      <c r="M79" s="302"/>
      <c r="N79" s="302"/>
      <c r="O79" s="304"/>
    </row>
    <row r="80" spans="1:16" ht="18" customHeight="1" x14ac:dyDescent="0.25">
      <c r="A80" s="299"/>
      <c r="B80" s="300">
        <v>42152</v>
      </c>
      <c r="C80" s="301">
        <v>30</v>
      </c>
      <c r="D80" s="302">
        <v>60.39</v>
      </c>
      <c r="E80" s="302"/>
      <c r="F80" s="302">
        <f t="shared" si="4"/>
        <v>1811.7</v>
      </c>
      <c r="G80" s="303"/>
      <c r="H80" s="301"/>
      <c r="I80" s="302"/>
      <c r="J80" s="302"/>
      <c r="K80" s="302"/>
      <c r="L80" s="303"/>
      <c r="M80" s="302"/>
      <c r="N80" s="302"/>
      <c r="O80" s="304"/>
    </row>
    <row r="81" spans="1:16" ht="18" customHeight="1" x14ac:dyDescent="0.25">
      <c r="A81" s="299"/>
      <c r="B81" s="300">
        <v>42166</v>
      </c>
      <c r="C81" s="301">
        <v>100</v>
      </c>
      <c r="D81" s="302">
        <v>58</v>
      </c>
      <c r="E81" s="302"/>
      <c r="F81" s="302">
        <f t="shared" si="4"/>
        <v>5800</v>
      </c>
      <c r="G81" s="303"/>
      <c r="H81" s="301"/>
      <c r="I81" s="302"/>
      <c r="J81" s="302"/>
      <c r="K81" s="302"/>
      <c r="L81" s="303"/>
      <c r="M81" s="302"/>
      <c r="N81" s="302"/>
      <c r="O81" s="304"/>
    </row>
    <row r="82" spans="1:16" ht="18" customHeight="1" x14ac:dyDescent="0.25">
      <c r="A82" s="299"/>
      <c r="B82" s="300">
        <v>42187</v>
      </c>
      <c r="C82" s="301">
        <v>290</v>
      </c>
      <c r="D82" s="302">
        <v>57.85</v>
      </c>
      <c r="E82" s="302"/>
      <c r="F82" s="302">
        <f t="shared" si="4"/>
        <v>16776.5</v>
      </c>
      <c r="G82" s="303"/>
      <c r="H82" s="301"/>
      <c r="I82" s="302"/>
      <c r="J82" s="302"/>
      <c r="K82" s="302"/>
      <c r="L82" s="303"/>
      <c r="M82" s="302"/>
      <c r="N82" s="302"/>
      <c r="O82" s="304"/>
    </row>
    <row r="83" spans="1:16" ht="18" customHeight="1" x14ac:dyDescent="0.25">
      <c r="A83" s="299"/>
      <c r="B83" s="305"/>
      <c r="C83" s="306">
        <f>SUM(C72:C82)</f>
        <v>600</v>
      </c>
      <c r="D83" s="307"/>
      <c r="E83" s="307"/>
      <c r="F83" s="307">
        <f>SUM(F72:F82)</f>
        <v>35375.199999999997</v>
      </c>
      <c r="G83" s="308"/>
      <c r="H83" s="306">
        <f>SUM(H72:H82)</f>
        <v>600</v>
      </c>
      <c r="I83" s="307"/>
      <c r="J83" s="307"/>
      <c r="K83" s="307">
        <f>SUM(K72:K82)</f>
        <v>35933.339999999997</v>
      </c>
      <c r="L83" s="308"/>
      <c r="M83" s="307">
        <f>SUM(M72:M82)</f>
        <v>44.61</v>
      </c>
      <c r="N83" s="307">
        <f>K83-F83</f>
        <v>558.13999999999942</v>
      </c>
      <c r="O83" s="309">
        <f>(N83+M83)/F83</f>
        <v>1.7038772925665423E-2</v>
      </c>
      <c r="P83" s="142" t="s">
        <v>134</v>
      </c>
    </row>
    <row r="84" spans="1:16" ht="18" customHeight="1" x14ac:dyDescent="0.25">
      <c r="B84" s="314"/>
      <c r="C84" s="315"/>
      <c r="D84" s="316"/>
      <c r="E84" s="25"/>
      <c r="F84" s="316"/>
      <c r="G84" s="314"/>
      <c r="H84" s="315"/>
      <c r="I84" s="316"/>
      <c r="J84" s="316"/>
      <c r="K84" s="316"/>
      <c r="L84" s="314"/>
      <c r="M84" s="316"/>
      <c r="N84" s="316"/>
      <c r="O84" s="317"/>
    </row>
    <row r="85" spans="1:16" ht="18" customHeight="1" x14ac:dyDescent="0.25">
      <c r="A85" s="299" t="s">
        <v>40</v>
      </c>
      <c r="B85" s="300">
        <v>42184</v>
      </c>
      <c r="C85" s="301">
        <v>20</v>
      </c>
      <c r="D85" s="302">
        <v>164.18</v>
      </c>
      <c r="E85" s="302"/>
      <c r="F85" s="302">
        <f>C85*D85</f>
        <v>3283.6000000000004</v>
      </c>
      <c r="G85" s="300">
        <v>42216</v>
      </c>
      <c r="H85" s="301">
        <v>20</v>
      </c>
      <c r="I85" s="302">
        <v>158</v>
      </c>
      <c r="J85" s="302">
        <v>0.06</v>
      </c>
      <c r="K85" s="302">
        <f>H85*I85-J85</f>
        <v>3159.94</v>
      </c>
      <c r="L85" s="303"/>
      <c r="M85" s="302"/>
      <c r="N85" s="302"/>
      <c r="O85" s="301"/>
    </row>
    <row r="86" spans="1:16" ht="18" customHeight="1" x14ac:dyDescent="0.25">
      <c r="A86" s="299"/>
      <c r="B86" s="300">
        <v>42209</v>
      </c>
      <c r="C86" s="301">
        <v>10</v>
      </c>
      <c r="D86" s="302">
        <v>148</v>
      </c>
      <c r="E86" s="302"/>
      <c r="F86" s="302">
        <f>C86*D86</f>
        <v>1480</v>
      </c>
      <c r="G86" s="300">
        <v>42235</v>
      </c>
      <c r="H86" s="301">
        <v>20</v>
      </c>
      <c r="I86" s="302">
        <v>159.80000000000001</v>
      </c>
      <c r="J86" s="302">
        <v>0.06</v>
      </c>
      <c r="K86" s="302">
        <f>H86*I86-J86</f>
        <v>3195.94</v>
      </c>
      <c r="L86" s="303"/>
      <c r="M86" s="302"/>
      <c r="N86" s="302"/>
      <c r="O86" s="301"/>
    </row>
    <row r="87" spans="1:16" ht="18" customHeight="1" x14ac:dyDescent="0.25">
      <c r="A87" s="299"/>
      <c r="B87" s="300">
        <v>42209</v>
      </c>
      <c r="C87" s="301">
        <v>10</v>
      </c>
      <c r="D87" s="302">
        <v>146.69999999999999</v>
      </c>
      <c r="E87" s="302"/>
      <c r="F87" s="302">
        <f>C87*D87</f>
        <v>1467</v>
      </c>
      <c r="G87" s="303"/>
      <c r="H87" s="301"/>
      <c r="I87" s="302"/>
      <c r="J87" s="302"/>
      <c r="K87" s="302"/>
      <c r="L87" s="303"/>
      <c r="M87" s="302"/>
      <c r="N87" s="302"/>
      <c r="O87" s="301"/>
      <c r="P87" s="142" t="s">
        <v>134</v>
      </c>
    </row>
    <row r="88" spans="1:16" ht="18" customHeight="1" x14ac:dyDescent="0.25">
      <c r="A88" s="299"/>
      <c r="B88" s="308"/>
      <c r="C88" s="306">
        <f>SUM(C85:C87)</f>
        <v>40</v>
      </c>
      <c r="D88" s="307"/>
      <c r="E88" s="307"/>
      <c r="F88" s="307">
        <f>SUM(F85:F87)</f>
        <v>6230.6</v>
      </c>
      <c r="G88" s="308"/>
      <c r="H88" s="306">
        <f>SUM(H85:H87)</f>
        <v>40</v>
      </c>
      <c r="I88" s="307"/>
      <c r="J88" s="307"/>
      <c r="K88" s="307">
        <f>SUM(K85:K87)</f>
        <v>6355.88</v>
      </c>
      <c r="L88" s="308"/>
      <c r="M88" s="307"/>
      <c r="N88" s="307">
        <f>K88-F88</f>
        <v>125.27999999999975</v>
      </c>
      <c r="O88" s="309">
        <f>(N88+M88)/F88</f>
        <v>2.0107212788495449E-2</v>
      </c>
      <c r="P88" s="142"/>
    </row>
    <row r="89" spans="1:16" ht="18" customHeight="1" x14ac:dyDescent="0.25">
      <c r="B89" s="314"/>
      <c r="C89" s="315"/>
      <c r="D89" s="316"/>
      <c r="E89" s="316"/>
      <c r="F89" s="316"/>
      <c r="G89" s="314"/>
      <c r="H89" s="315"/>
      <c r="I89" s="316"/>
      <c r="J89" s="316"/>
      <c r="K89" s="316"/>
      <c r="L89" s="314"/>
      <c r="M89" s="316"/>
      <c r="N89" s="316"/>
      <c r="O89" s="317"/>
      <c r="P89" s="142"/>
    </row>
    <row r="90" spans="1:16" ht="18" customHeight="1" x14ac:dyDescent="0.25">
      <c r="A90" s="299" t="s">
        <v>19</v>
      </c>
      <c r="B90" s="300">
        <v>42152</v>
      </c>
      <c r="C90" s="301">
        <v>5</v>
      </c>
      <c r="D90" s="302">
        <v>35.049999999999997</v>
      </c>
      <c r="E90" s="302"/>
      <c r="F90" s="302">
        <v>175.25</v>
      </c>
      <c r="G90" s="300">
        <v>42206</v>
      </c>
      <c r="H90" s="301">
        <v>39</v>
      </c>
      <c r="I90" s="302">
        <v>35.65</v>
      </c>
      <c r="J90" s="301">
        <v>0.03</v>
      </c>
      <c r="K90" s="302">
        <f>H90*I90-J90</f>
        <v>1390.32</v>
      </c>
      <c r="L90" s="300">
        <v>42170</v>
      </c>
      <c r="M90" s="302">
        <v>7.73</v>
      </c>
      <c r="N90" s="302"/>
      <c r="O90" s="304"/>
      <c r="P90" s="142" t="s">
        <v>134</v>
      </c>
    </row>
    <row r="91" spans="1:16" ht="18" customHeight="1" x14ac:dyDescent="0.25">
      <c r="A91" s="299"/>
      <c r="B91" s="300">
        <v>42153</v>
      </c>
      <c r="C91" s="301">
        <v>25</v>
      </c>
      <c r="D91" s="302">
        <v>34.4</v>
      </c>
      <c r="E91" s="303"/>
      <c r="F91" s="302">
        <v>860</v>
      </c>
      <c r="G91" s="300">
        <v>42264</v>
      </c>
      <c r="H91" s="301">
        <v>51</v>
      </c>
      <c r="I91" s="302">
        <v>35</v>
      </c>
      <c r="J91" s="302">
        <v>0.03</v>
      </c>
      <c r="K91" s="302">
        <f>H91*I91-J91</f>
        <v>1784.97</v>
      </c>
      <c r="L91" s="300">
        <v>42262</v>
      </c>
      <c r="M91" s="302">
        <v>13.64</v>
      </c>
      <c r="N91" s="302"/>
      <c r="O91" s="304"/>
      <c r="P91" s="142"/>
    </row>
    <row r="92" spans="1:16" ht="18" customHeight="1" x14ac:dyDescent="0.25">
      <c r="A92" s="299"/>
      <c r="B92" s="300">
        <v>42173</v>
      </c>
      <c r="C92" s="301">
        <v>10</v>
      </c>
      <c r="D92" s="302">
        <v>34.1</v>
      </c>
      <c r="E92" s="302"/>
      <c r="F92" s="302">
        <v>341</v>
      </c>
      <c r="G92" s="303"/>
      <c r="H92" s="301"/>
      <c r="I92" s="302"/>
      <c r="J92" s="302"/>
      <c r="K92" s="302"/>
      <c r="L92" s="303"/>
      <c r="M92" s="302"/>
      <c r="N92" s="302"/>
      <c r="O92" s="304"/>
      <c r="P92" s="142"/>
    </row>
    <row r="93" spans="1:16" ht="18" customHeight="1" x14ac:dyDescent="0.25">
      <c r="A93" s="299"/>
      <c r="B93" s="300">
        <v>42228</v>
      </c>
      <c r="C93" s="301">
        <v>50</v>
      </c>
      <c r="D93" s="302">
        <v>33.44</v>
      </c>
      <c r="E93" s="302"/>
      <c r="F93" s="302">
        <v>1672.2</v>
      </c>
      <c r="G93" s="303"/>
      <c r="H93" s="301"/>
      <c r="I93" s="302"/>
      <c r="J93" s="302"/>
      <c r="K93" s="302"/>
      <c r="L93" s="303"/>
      <c r="M93" s="302"/>
      <c r="N93" s="302"/>
      <c r="O93" s="304"/>
      <c r="P93" s="142"/>
    </row>
    <row r="94" spans="1:16" ht="18" customHeight="1" x14ac:dyDescent="0.25">
      <c r="A94" s="299"/>
      <c r="B94" s="308"/>
      <c r="C94" s="306">
        <v>90</v>
      </c>
      <c r="D94" s="307"/>
      <c r="E94" s="307"/>
      <c r="F94" s="307">
        <f>SUM(F90:F93)</f>
        <v>3048.45</v>
      </c>
      <c r="G94" s="308"/>
      <c r="H94" s="306">
        <v>90</v>
      </c>
      <c r="I94" s="307"/>
      <c r="J94" s="307"/>
      <c r="K94" s="307">
        <f>SUM(K90:K91)</f>
        <v>3175.29</v>
      </c>
      <c r="L94" s="308"/>
      <c r="M94" s="307">
        <f>SUM(M90:M91)</f>
        <v>21.37</v>
      </c>
      <c r="N94" s="307">
        <f>K94-F94</f>
        <v>126.84000000000015</v>
      </c>
      <c r="O94" s="309">
        <f>N94/F94</f>
        <v>4.1608030310485704E-2</v>
      </c>
      <c r="P94" s="142"/>
    </row>
    <row r="95" spans="1:16" ht="18" customHeight="1" x14ac:dyDescent="0.25">
      <c r="B95" s="314"/>
      <c r="C95" s="315"/>
      <c r="D95" s="316"/>
      <c r="E95" s="25"/>
      <c r="F95" s="316"/>
      <c r="G95" s="314"/>
      <c r="H95" s="315"/>
      <c r="I95" s="316"/>
      <c r="K95" s="316"/>
      <c r="L95" s="314"/>
      <c r="M95" s="316"/>
      <c r="N95" s="316"/>
      <c r="O95" s="317"/>
      <c r="P95" s="142"/>
    </row>
    <row r="96" spans="1:16" ht="18" customHeight="1" x14ac:dyDescent="0.25">
      <c r="A96" s="299" t="s">
        <v>32</v>
      </c>
      <c r="B96" s="300">
        <v>42166</v>
      </c>
      <c r="C96" s="301">
        <v>25</v>
      </c>
      <c r="D96" s="302">
        <v>41.2</v>
      </c>
      <c r="E96" s="303"/>
      <c r="F96" s="302">
        <f>C96*D96</f>
        <v>1030</v>
      </c>
      <c r="G96" s="300">
        <v>42200</v>
      </c>
      <c r="H96" s="301">
        <v>50</v>
      </c>
      <c r="I96" s="302">
        <v>42.08</v>
      </c>
      <c r="J96" s="301">
        <v>0.04</v>
      </c>
      <c r="K96" s="302">
        <f>H96*I96-J96</f>
        <v>2103.96</v>
      </c>
      <c r="L96" s="303"/>
      <c r="M96" s="302"/>
      <c r="N96" s="302"/>
      <c r="O96" s="304"/>
      <c r="P96" s="142" t="s">
        <v>134</v>
      </c>
    </row>
    <row r="97" spans="1:15" ht="18" customHeight="1" x14ac:dyDescent="0.25">
      <c r="A97" s="299"/>
      <c r="B97" s="300">
        <v>42167</v>
      </c>
      <c r="C97" s="301">
        <v>25</v>
      </c>
      <c r="D97" s="302">
        <v>39.1</v>
      </c>
      <c r="E97" s="303"/>
      <c r="F97" s="302">
        <f>C97*D97</f>
        <v>977.5</v>
      </c>
      <c r="G97" s="303"/>
      <c r="H97" s="301"/>
      <c r="I97" s="302"/>
      <c r="J97" s="301"/>
      <c r="K97" s="302"/>
      <c r="L97" s="303"/>
      <c r="M97" s="302"/>
      <c r="N97" s="302"/>
      <c r="O97" s="304"/>
    </row>
    <row r="98" spans="1:15" ht="18" customHeight="1" x14ac:dyDescent="0.25">
      <c r="A98" s="299"/>
      <c r="B98" s="305"/>
      <c r="C98" s="306">
        <f>SUM(C96:C97)</f>
        <v>50</v>
      </c>
      <c r="D98" s="307"/>
      <c r="E98" s="308"/>
      <c r="F98" s="307">
        <f>SUM(F96:F97)</f>
        <v>2007.5</v>
      </c>
      <c r="G98" s="308"/>
      <c r="H98" s="306">
        <f>SUM(H96:H97)</f>
        <v>50</v>
      </c>
      <c r="I98" s="307"/>
      <c r="J98" s="306"/>
      <c r="K98" s="307">
        <f>SUM(K96:K97)</f>
        <v>2103.96</v>
      </c>
      <c r="L98" s="308"/>
      <c r="M98" s="307"/>
      <c r="N98" s="307">
        <f>K98-F98</f>
        <v>96.460000000000036</v>
      </c>
      <c r="O98" s="309">
        <f>(N98+M98)/F98</f>
        <v>4.804981320049815E-2</v>
      </c>
    </row>
    <row r="99" spans="1:15" ht="18" customHeight="1" x14ac:dyDescent="0.25">
      <c r="B99" s="314"/>
      <c r="C99" s="315"/>
      <c r="D99" s="316"/>
      <c r="E99" s="316"/>
      <c r="F99" s="316"/>
      <c r="G99" s="314"/>
      <c r="H99" s="315"/>
      <c r="I99" s="316"/>
      <c r="K99" s="316"/>
      <c r="L99" s="314"/>
      <c r="M99" s="316"/>
      <c r="N99" s="316"/>
      <c r="O99" s="317"/>
    </row>
    <row r="100" spans="1:15" ht="18" customHeight="1" x14ac:dyDescent="0.25">
      <c r="A100" s="299" t="s">
        <v>16</v>
      </c>
      <c r="B100" s="300">
        <v>42153</v>
      </c>
      <c r="C100" s="301">
        <v>1</v>
      </c>
      <c r="D100" s="302">
        <v>20.3</v>
      </c>
      <c r="E100" s="302"/>
      <c r="F100" s="302">
        <f>C100*D100</f>
        <v>20.3</v>
      </c>
      <c r="G100" s="300">
        <v>42187</v>
      </c>
      <c r="H100" s="301">
        <v>1</v>
      </c>
      <c r="I100" s="302">
        <v>28.5</v>
      </c>
      <c r="J100" s="302">
        <v>0.01</v>
      </c>
      <c r="K100" s="302">
        <f>H100*I100-J100</f>
        <v>28.49</v>
      </c>
      <c r="L100" s="303"/>
      <c r="M100" s="302"/>
      <c r="N100" s="302"/>
      <c r="O100" s="304"/>
    </row>
    <row r="101" spans="1:15" ht="18" customHeight="1" x14ac:dyDescent="0.25">
      <c r="A101" s="299"/>
      <c r="B101" s="308"/>
      <c r="C101" s="306">
        <f>SUM(C100)</f>
        <v>1</v>
      </c>
      <c r="D101" s="307"/>
      <c r="E101" s="307"/>
      <c r="F101" s="307">
        <f>SUM(F100)</f>
        <v>20.3</v>
      </c>
      <c r="G101" s="308"/>
      <c r="H101" s="306">
        <f>SUM(H100)</f>
        <v>1</v>
      </c>
      <c r="I101" s="307"/>
      <c r="J101" s="307"/>
      <c r="K101" s="307">
        <f>SUM(K100)</f>
        <v>28.49</v>
      </c>
      <c r="L101" s="308"/>
      <c r="M101" s="307"/>
      <c r="N101" s="307">
        <f>K101-F101</f>
        <v>8.1899999999999977</v>
      </c>
      <c r="O101" s="309">
        <f>(N101+M101)/F101</f>
        <v>0.40344827586206883</v>
      </c>
    </row>
    <row r="102" spans="1:15" ht="18" customHeight="1" x14ac:dyDescent="0.25">
      <c r="B102" s="314"/>
      <c r="C102" s="315"/>
      <c r="D102" s="316"/>
      <c r="E102" s="25"/>
      <c r="F102" s="316"/>
      <c r="G102" s="314"/>
      <c r="H102" s="315"/>
      <c r="I102" s="316"/>
      <c r="K102" s="316"/>
      <c r="L102" s="314"/>
      <c r="M102" s="316"/>
      <c r="N102" s="316"/>
      <c r="O102" s="317"/>
    </row>
    <row r="103" spans="1:15" ht="18" customHeight="1" x14ac:dyDescent="0.25">
      <c r="A103" s="299" t="s">
        <v>21</v>
      </c>
      <c r="B103" s="300">
        <v>42153</v>
      </c>
      <c r="C103" s="301">
        <v>10</v>
      </c>
      <c r="D103" s="302">
        <v>17.399999999999999</v>
      </c>
      <c r="E103" s="303"/>
      <c r="F103" s="302">
        <f>C103*D103</f>
        <v>174</v>
      </c>
      <c r="G103" s="300">
        <v>42186</v>
      </c>
      <c r="H103" s="301">
        <v>10</v>
      </c>
      <c r="I103" s="302">
        <v>24.2</v>
      </c>
      <c r="J103" s="301">
        <v>0.01</v>
      </c>
      <c r="K103" s="302">
        <f>H103*I103-J103</f>
        <v>241.99</v>
      </c>
      <c r="L103" s="303"/>
      <c r="M103" s="302"/>
      <c r="N103" s="302"/>
      <c r="O103" s="304"/>
    </row>
    <row r="104" spans="1:15" ht="18" customHeight="1" x14ac:dyDescent="0.25">
      <c r="A104" s="299"/>
      <c r="B104" s="300">
        <v>42187</v>
      </c>
      <c r="C104" s="301">
        <v>1000</v>
      </c>
      <c r="D104" s="302">
        <v>22.12</v>
      </c>
      <c r="E104" s="303"/>
      <c r="F104" s="302">
        <f>C104*D104</f>
        <v>22120</v>
      </c>
      <c r="G104" s="300">
        <v>42187</v>
      </c>
      <c r="H104" s="301">
        <v>4000</v>
      </c>
      <c r="I104" s="302">
        <v>21.81</v>
      </c>
      <c r="J104" s="301">
        <v>11.91</v>
      </c>
      <c r="K104" s="302">
        <f>H104*I104-J104</f>
        <v>87228.09</v>
      </c>
      <c r="L104" s="303"/>
      <c r="M104" s="302"/>
      <c r="N104" s="302"/>
      <c r="O104" s="304"/>
    </row>
    <row r="105" spans="1:15" ht="18" customHeight="1" x14ac:dyDescent="0.25">
      <c r="A105" s="299"/>
      <c r="B105" s="300">
        <v>42187</v>
      </c>
      <c r="C105" s="301">
        <v>1000</v>
      </c>
      <c r="D105" s="302">
        <v>21.7</v>
      </c>
      <c r="E105" s="303"/>
      <c r="F105" s="302">
        <f>C105*D105</f>
        <v>21700</v>
      </c>
      <c r="G105" s="300"/>
      <c r="H105" s="301"/>
      <c r="I105" s="302"/>
      <c r="J105" s="301"/>
      <c r="K105" s="302"/>
      <c r="L105" s="303"/>
      <c r="M105" s="302"/>
      <c r="N105" s="302"/>
      <c r="O105" s="304"/>
    </row>
    <row r="106" spans="1:15" ht="18" customHeight="1" x14ac:dyDescent="0.25">
      <c r="A106" s="299"/>
      <c r="B106" s="300">
        <v>42187</v>
      </c>
      <c r="C106" s="301">
        <v>2000</v>
      </c>
      <c r="D106" s="302">
        <v>21.49</v>
      </c>
      <c r="E106" s="303"/>
      <c r="F106" s="302">
        <f>C106*D106</f>
        <v>42980</v>
      </c>
      <c r="G106" s="300"/>
      <c r="H106" s="301"/>
      <c r="I106" s="302"/>
      <c r="J106" s="301"/>
      <c r="K106" s="302"/>
      <c r="L106" s="303"/>
      <c r="M106" s="302"/>
      <c r="N106" s="302"/>
      <c r="O106" s="304"/>
    </row>
    <row r="107" spans="1:15" ht="18" customHeight="1" x14ac:dyDescent="0.25">
      <c r="A107" s="299"/>
      <c r="B107" s="305"/>
      <c r="C107" s="306">
        <f>SUM(C103:C106)</f>
        <v>4010</v>
      </c>
      <c r="D107" s="307"/>
      <c r="E107" s="308"/>
      <c r="F107" s="307">
        <f>SUM(F103:F106)</f>
        <v>86974</v>
      </c>
      <c r="G107" s="308"/>
      <c r="H107" s="306">
        <f>SUM(H103:H106)</f>
        <v>4010</v>
      </c>
      <c r="I107" s="307"/>
      <c r="J107" s="306"/>
      <c r="K107" s="307">
        <f>SUM(K103:K106)</f>
        <v>87470.080000000002</v>
      </c>
      <c r="L107" s="308"/>
      <c r="M107" s="307"/>
      <c r="N107" s="307">
        <f>K107-F107</f>
        <v>496.08000000000175</v>
      </c>
      <c r="O107" s="309">
        <f>(N107+M107)/F107</f>
        <v>5.7037735415181746E-3</v>
      </c>
    </row>
    <row r="108" spans="1:15" ht="18" customHeight="1" x14ac:dyDescent="0.25">
      <c r="B108" s="314"/>
      <c r="C108" s="315"/>
      <c r="D108" s="316"/>
      <c r="E108" s="25"/>
      <c r="F108" s="316"/>
      <c r="G108" s="314"/>
      <c r="H108" s="315"/>
      <c r="I108" s="316"/>
      <c r="J108" s="316"/>
      <c r="K108" s="316"/>
      <c r="L108" s="314"/>
      <c r="M108" s="316"/>
      <c r="N108" s="315"/>
      <c r="O108" s="315"/>
    </row>
    <row r="109" spans="1:15" ht="18" customHeight="1" x14ac:dyDescent="0.25">
      <c r="A109" s="299" t="s">
        <v>9</v>
      </c>
      <c r="B109" s="300">
        <v>42145</v>
      </c>
      <c r="C109" s="301">
        <v>100</v>
      </c>
      <c r="D109" s="302">
        <v>5.55</v>
      </c>
      <c r="E109" s="302"/>
      <c r="F109" s="302">
        <f t="shared" ref="F109:F138" si="5">C109*D109</f>
        <v>555</v>
      </c>
      <c r="G109" s="300">
        <v>42187</v>
      </c>
      <c r="H109" s="301">
        <v>4200</v>
      </c>
      <c r="I109" s="302">
        <v>5.0199999999999996</v>
      </c>
      <c r="J109" s="302">
        <v>0.39</v>
      </c>
      <c r="K109" s="302">
        <f>H109*I109-J109</f>
        <v>21083.61</v>
      </c>
      <c r="L109" s="300">
        <v>42185</v>
      </c>
      <c r="M109" s="302">
        <v>656.25</v>
      </c>
      <c r="N109" s="301"/>
      <c r="O109" s="301"/>
    </row>
    <row r="110" spans="1:15" ht="18" customHeight="1" x14ac:dyDescent="0.25">
      <c r="A110" s="299"/>
      <c r="B110" s="300">
        <v>42146</v>
      </c>
      <c r="C110" s="301">
        <v>100</v>
      </c>
      <c r="D110" s="302">
        <v>5.47</v>
      </c>
      <c r="E110" s="302"/>
      <c r="F110" s="302">
        <f t="shared" si="5"/>
        <v>547</v>
      </c>
      <c r="G110" s="300">
        <v>42207</v>
      </c>
      <c r="H110" s="301">
        <v>1000</v>
      </c>
      <c r="I110" s="302">
        <v>5.12</v>
      </c>
      <c r="J110" s="302">
        <v>0.09</v>
      </c>
      <c r="K110" s="302">
        <f>H110*I110-J110</f>
        <v>5119.91</v>
      </c>
      <c r="L110" s="303"/>
      <c r="M110" s="302"/>
      <c r="N110" s="301"/>
      <c r="O110" s="301"/>
    </row>
    <row r="111" spans="1:15" ht="18" customHeight="1" x14ac:dyDescent="0.25">
      <c r="A111" s="299"/>
      <c r="B111" s="300">
        <v>42146</v>
      </c>
      <c r="C111" s="301">
        <v>100</v>
      </c>
      <c r="D111" s="302">
        <v>5.43</v>
      </c>
      <c r="E111" s="302"/>
      <c r="F111" s="302">
        <f t="shared" si="5"/>
        <v>543</v>
      </c>
      <c r="G111" s="300">
        <v>42207</v>
      </c>
      <c r="H111" s="301">
        <v>2000</v>
      </c>
      <c r="I111" s="302">
        <v>5.16</v>
      </c>
      <c r="J111" s="302">
        <v>0.19</v>
      </c>
      <c r="K111" s="302">
        <f t="shared" ref="K111:K118" si="6">H111*I111-J111</f>
        <v>10319.81</v>
      </c>
      <c r="L111" s="303"/>
      <c r="M111" s="302"/>
      <c r="N111" s="301"/>
      <c r="O111" s="301"/>
    </row>
    <row r="112" spans="1:15" ht="18" customHeight="1" x14ac:dyDescent="0.25">
      <c r="A112" s="299"/>
      <c r="B112" s="300">
        <v>42146</v>
      </c>
      <c r="C112" s="301">
        <v>100</v>
      </c>
      <c r="D112" s="302">
        <v>5.4</v>
      </c>
      <c r="E112" s="302"/>
      <c r="F112" s="302">
        <f t="shared" si="5"/>
        <v>540</v>
      </c>
      <c r="G112" s="300">
        <v>42207</v>
      </c>
      <c r="H112" s="301">
        <v>1000</v>
      </c>
      <c r="I112" s="302">
        <v>5.07</v>
      </c>
      <c r="J112" s="302">
        <v>0.09</v>
      </c>
      <c r="K112" s="302">
        <f t="shared" si="6"/>
        <v>5069.91</v>
      </c>
      <c r="L112" s="303"/>
      <c r="M112" s="302"/>
      <c r="N112" s="301"/>
      <c r="O112" s="301"/>
    </row>
    <row r="113" spans="1:16" ht="18" customHeight="1" x14ac:dyDescent="0.25">
      <c r="A113" s="299"/>
      <c r="B113" s="300">
        <v>42146</v>
      </c>
      <c r="C113" s="301">
        <v>200</v>
      </c>
      <c r="D113" s="302">
        <v>5.35</v>
      </c>
      <c r="E113" s="302"/>
      <c r="F113" s="302">
        <f t="shared" si="5"/>
        <v>1070</v>
      </c>
      <c r="G113" s="300">
        <v>42207</v>
      </c>
      <c r="H113" s="301">
        <v>1000</v>
      </c>
      <c r="I113" s="302">
        <v>5.09</v>
      </c>
      <c r="J113" s="302">
        <v>0.09</v>
      </c>
      <c r="K113" s="302">
        <f t="shared" si="6"/>
        <v>5089.91</v>
      </c>
      <c r="L113" s="303"/>
      <c r="M113" s="302"/>
      <c r="N113" s="301"/>
      <c r="O113" s="301"/>
    </row>
    <row r="114" spans="1:16" ht="18" customHeight="1" x14ac:dyDescent="0.25">
      <c r="A114" s="299"/>
      <c r="B114" s="300">
        <v>42152</v>
      </c>
      <c r="C114" s="301">
        <v>250</v>
      </c>
      <c r="D114" s="302">
        <v>5.3</v>
      </c>
      <c r="E114" s="302"/>
      <c r="F114" s="302">
        <f t="shared" si="5"/>
        <v>1325</v>
      </c>
      <c r="G114" s="300">
        <v>42207</v>
      </c>
      <c r="H114" s="301">
        <v>2000</v>
      </c>
      <c r="I114" s="302">
        <v>5.23</v>
      </c>
      <c r="J114" s="302">
        <v>0.19</v>
      </c>
      <c r="K114" s="302">
        <f t="shared" si="6"/>
        <v>10459.81</v>
      </c>
      <c r="L114" s="303"/>
      <c r="M114" s="302"/>
      <c r="N114" s="301"/>
      <c r="O114" s="301"/>
    </row>
    <row r="115" spans="1:16" ht="18" customHeight="1" x14ac:dyDescent="0.25">
      <c r="A115" s="299"/>
      <c r="B115" s="300">
        <v>42152</v>
      </c>
      <c r="C115" s="301">
        <v>200</v>
      </c>
      <c r="D115" s="302">
        <v>5.26</v>
      </c>
      <c r="E115" s="302"/>
      <c r="F115" s="302">
        <f t="shared" si="5"/>
        <v>1052</v>
      </c>
      <c r="G115" s="300">
        <v>42222</v>
      </c>
      <c r="H115" s="301">
        <v>5000</v>
      </c>
      <c r="I115" s="302">
        <v>5.12</v>
      </c>
      <c r="J115" s="302">
        <v>0.47</v>
      </c>
      <c r="K115" s="302">
        <f t="shared" si="6"/>
        <v>25599.53</v>
      </c>
      <c r="L115" s="303"/>
      <c r="M115" s="302"/>
      <c r="N115" s="301"/>
      <c r="O115" s="301"/>
    </row>
    <row r="116" spans="1:16" ht="18" customHeight="1" x14ac:dyDescent="0.25">
      <c r="A116" s="299"/>
      <c r="B116" s="300">
        <v>42152</v>
      </c>
      <c r="C116" s="301">
        <v>200</v>
      </c>
      <c r="D116" s="302">
        <v>5.22</v>
      </c>
      <c r="E116" s="302"/>
      <c r="F116" s="302">
        <f t="shared" si="5"/>
        <v>1044</v>
      </c>
      <c r="G116" s="300">
        <v>42222</v>
      </c>
      <c r="H116" s="301">
        <v>1000</v>
      </c>
      <c r="I116" s="302">
        <v>5.1100000000000003</v>
      </c>
      <c r="J116" s="302">
        <v>0.09</v>
      </c>
      <c r="K116" s="302">
        <f t="shared" si="6"/>
        <v>5109.91</v>
      </c>
      <c r="L116" s="303"/>
      <c r="M116" s="302"/>
      <c r="N116" s="301"/>
      <c r="O116" s="301"/>
    </row>
    <row r="117" spans="1:16" ht="18" customHeight="1" x14ac:dyDescent="0.25">
      <c r="A117" s="299"/>
      <c r="B117" s="300">
        <v>42152</v>
      </c>
      <c r="C117" s="301">
        <v>1000</v>
      </c>
      <c r="D117" s="302">
        <v>5.19</v>
      </c>
      <c r="E117" s="302"/>
      <c r="F117" s="302">
        <f t="shared" si="5"/>
        <v>5190</v>
      </c>
      <c r="G117" s="300">
        <v>42223</v>
      </c>
      <c r="H117" s="301">
        <v>1950</v>
      </c>
      <c r="I117" s="302">
        <v>5.2</v>
      </c>
      <c r="J117" s="302">
        <v>0.19</v>
      </c>
      <c r="K117" s="302">
        <f t="shared" si="6"/>
        <v>10139.81</v>
      </c>
      <c r="L117" s="303"/>
      <c r="M117" s="302"/>
      <c r="N117" s="301"/>
      <c r="O117" s="301"/>
    </row>
    <row r="118" spans="1:16" ht="18" customHeight="1" x14ac:dyDescent="0.25">
      <c r="A118" s="299"/>
      <c r="B118" s="300">
        <v>42152</v>
      </c>
      <c r="C118" s="301">
        <v>2000</v>
      </c>
      <c r="D118" s="302">
        <v>5.17</v>
      </c>
      <c r="E118" s="302"/>
      <c r="F118" s="302">
        <f t="shared" si="5"/>
        <v>10340</v>
      </c>
      <c r="G118" s="300">
        <v>42229</v>
      </c>
      <c r="H118" s="301">
        <v>50</v>
      </c>
      <c r="I118" s="302">
        <v>5.28</v>
      </c>
      <c r="J118" s="302">
        <v>0.01</v>
      </c>
      <c r="K118" s="302">
        <f t="shared" si="6"/>
        <v>263.99</v>
      </c>
      <c r="L118" s="303"/>
      <c r="M118" s="302"/>
      <c r="N118" s="301"/>
      <c r="O118" s="301"/>
    </row>
    <row r="119" spans="1:16" ht="18" customHeight="1" x14ac:dyDescent="0.25">
      <c r="A119" s="299"/>
      <c r="B119" s="300">
        <v>42152</v>
      </c>
      <c r="C119" s="301">
        <v>2000</v>
      </c>
      <c r="D119" s="302">
        <v>5.15</v>
      </c>
      <c r="E119" s="302"/>
      <c r="F119" s="302">
        <f t="shared" si="5"/>
        <v>10300</v>
      </c>
      <c r="G119" s="303"/>
      <c r="H119" s="301"/>
      <c r="I119" s="302"/>
      <c r="J119" s="302"/>
      <c r="K119" s="302"/>
      <c r="L119" s="303"/>
      <c r="M119" s="302"/>
      <c r="N119" s="301"/>
      <c r="O119" s="301"/>
    </row>
    <row r="120" spans="1:16" ht="18" customHeight="1" x14ac:dyDescent="0.25">
      <c r="A120" s="299"/>
      <c r="B120" s="300">
        <v>42158</v>
      </c>
      <c r="C120" s="301">
        <v>500</v>
      </c>
      <c r="D120" s="302">
        <v>5.09</v>
      </c>
      <c r="E120" s="302"/>
      <c r="F120" s="302">
        <f t="shared" si="5"/>
        <v>2545</v>
      </c>
      <c r="G120" s="303"/>
      <c r="H120" s="301"/>
      <c r="I120" s="302"/>
      <c r="J120" s="302"/>
      <c r="K120" s="302"/>
      <c r="L120" s="303"/>
      <c r="M120" s="302"/>
      <c r="N120" s="301"/>
      <c r="O120" s="301"/>
    </row>
    <row r="121" spans="1:16" ht="18" customHeight="1" x14ac:dyDescent="0.25">
      <c r="A121" s="299"/>
      <c r="B121" s="300">
        <v>42158</v>
      </c>
      <c r="C121" s="301">
        <v>1000</v>
      </c>
      <c r="D121" s="302">
        <v>5.04</v>
      </c>
      <c r="E121" s="303"/>
      <c r="F121" s="302">
        <f t="shared" si="5"/>
        <v>5040</v>
      </c>
      <c r="G121" s="303"/>
      <c r="H121" s="301"/>
      <c r="I121" s="302"/>
      <c r="J121" s="302"/>
      <c r="K121" s="302"/>
      <c r="L121" s="303"/>
      <c r="M121" s="302"/>
      <c r="N121" s="301"/>
      <c r="O121" s="301"/>
    </row>
    <row r="122" spans="1:16" ht="18" customHeight="1" x14ac:dyDescent="0.25">
      <c r="A122" s="299"/>
      <c r="B122" s="300">
        <v>42158</v>
      </c>
      <c r="C122" s="301">
        <v>200</v>
      </c>
      <c r="D122" s="302">
        <v>5.05</v>
      </c>
      <c r="E122" s="302"/>
      <c r="F122" s="302">
        <f t="shared" si="5"/>
        <v>1010</v>
      </c>
      <c r="G122" s="303"/>
      <c r="H122" s="301"/>
      <c r="I122" s="302"/>
      <c r="J122" s="302"/>
      <c r="K122" s="302"/>
      <c r="L122" s="303"/>
      <c r="M122" s="302"/>
      <c r="N122" s="301"/>
      <c r="O122" s="301"/>
    </row>
    <row r="123" spans="1:16" ht="18" customHeight="1" x14ac:dyDescent="0.25">
      <c r="A123" s="299"/>
      <c r="B123" s="300">
        <v>42164</v>
      </c>
      <c r="C123" s="301">
        <v>500</v>
      </c>
      <c r="D123" s="302">
        <v>5.07</v>
      </c>
      <c r="E123" s="302"/>
      <c r="F123" s="302">
        <f t="shared" si="5"/>
        <v>2535</v>
      </c>
      <c r="G123" s="303"/>
      <c r="H123" s="301"/>
      <c r="I123" s="302"/>
      <c r="J123" s="302"/>
      <c r="K123" s="302"/>
      <c r="L123" s="303"/>
      <c r="M123" s="302"/>
      <c r="N123" s="301"/>
      <c r="O123" s="301"/>
    </row>
    <row r="124" spans="1:16" ht="18" customHeight="1" x14ac:dyDescent="0.25">
      <c r="A124" s="299"/>
      <c r="B124" s="300">
        <v>42164</v>
      </c>
      <c r="C124" s="301">
        <v>1000</v>
      </c>
      <c r="D124" s="302">
        <v>5.04</v>
      </c>
      <c r="E124" s="302"/>
      <c r="F124" s="302">
        <f t="shared" si="5"/>
        <v>5040</v>
      </c>
      <c r="G124" s="303"/>
      <c r="H124" s="301"/>
      <c r="I124" s="302"/>
      <c r="J124" s="302"/>
      <c r="K124" s="302"/>
      <c r="L124" s="303"/>
      <c r="M124" s="302"/>
      <c r="N124" s="301"/>
      <c r="O124" s="301"/>
    </row>
    <row r="125" spans="1:16" ht="18" customHeight="1" x14ac:dyDescent="0.25">
      <c r="A125" s="299"/>
      <c r="B125" s="300">
        <v>42164</v>
      </c>
      <c r="C125" s="301">
        <v>1000</v>
      </c>
      <c r="D125" s="302">
        <v>5.01</v>
      </c>
      <c r="E125" s="302"/>
      <c r="F125" s="302">
        <f t="shared" si="5"/>
        <v>5010</v>
      </c>
      <c r="G125" s="303"/>
      <c r="H125" s="301"/>
      <c r="I125" s="302"/>
      <c r="J125" s="302"/>
      <c r="K125" s="302"/>
      <c r="L125" s="303"/>
      <c r="M125" s="302"/>
      <c r="N125" s="301"/>
      <c r="O125" s="301"/>
    </row>
    <row r="126" spans="1:16" ht="18" customHeight="1" x14ac:dyDescent="0.25">
      <c r="A126" s="299"/>
      <c r="B126" s="300">
        <v>42173</v>
      </c>
      <c r="C126" s="301">
        <v>500</v>
      </c>
      <c r="D126" s="302">
        <v>4.88</v>
      </c>
      <c r="E126" s="302"/>
      <c r="F126" s="302">
        <f t="shared" si="5"/>
        <v>2440</v>
      </c>
      <c r="G126" s="303"/>
      <c r="H126" s="301"/>
      <c r="I126" s="302"/>
      <c r="J126" s="302"/>
      <c r="K126" s="302"/>
      <c r="L126" s="303"/>
      <c r="M126" s="302"/>
      <c r="N126" s="301"/>
      <c r="O126" s="301"/>
    </row>
    <row r="127" spans="1:16" ht="18" customHeight="1" x14ac:dyDescent="0.25">
      <c r="A127" s="299"/>
      <c r="B127" s="300">
        <v>42187</v>
      </c>
      <c r="C127" s="301">
        <v>2000</v>
      </c>
      <c r="D127" s="302">
        <v>4.9800000000000004</v>
      </c>
      <c r="E127" s="302"/>
      <c r="F127" s="302">
        <f t="shared" si="5"/>
        <v>9960</v>
      </c>
      <c r="G127" s="303"/>
      <c r="H127" s="301"/>
      <c r="I127" s="302"/>
      <c r="J127" s="302"/>
      <c r="K127" s="302"/>
      <c r="L127" s="303"/>
      <c r="M127" s="302"/>
      <c r="N127" s="301"/>
      <c r="O127" s="301"/>
    </row>
    <row r="128" spans="1:16" ht="18" customHeight="1" x14ac:dyDescent="0.25">
      <c r="A128" s="299"/>
      <c r="B128" s="300">
        <v>42187</v>
      </c>
      <c r="C128" s="301">
        <v>100</v>
      </c>
      <c r="D128" s="302">
        <v>4.9800000000000004</v>
      </c>
      <c r="E128" s="302"/>
      <c r="F128" s="302">
        <f t="shared" si="5"/>
        <v>498.00000000000006</v>
      </c>
      <c r="G128" s="303"/>
      <c r="H128" s="301"/>
      <c r="I128" s="302"/>
      <c r="J128" s="302"/>
      <c r="K128" s="302"/>
      <c r="L128" s="303"/>
      <c r="M128" s="302"/>
      <c r="N128" s="301"/>
      <c r="O128" s="301"/>
      <c r="P128" s="142" t="s">
        <v>134</v>
      </c>
    </row>
    <row r="129" spans="1:16" ht="18" customHeight="1" x14ac:dyDescent="0.25">
      <c r="A129" s="299"/>
      <c r="B129" s="300">
        <v>42187</v>
      </c>
      <c r="C129" s="301">
        <v>100</v>
      </c>
      <c r="D129" s="302">
        <v>4.9800000000000004</v>
      </c>
      <c r="E129" s="302"/>
      <c r="F129" s="302">
        <f t="shared" si="5"/>
        <v>498.00000000000006</v>
      </c>
      <c r="G129" s="303"/>
      <c r="H129" s="301"/>
      <c r="I129" s="302"/>
      <c r="J129" s="302"/>
      <c r="K129" s="302"/>
      <c r="L129" s="303"/>
      <c r="M129" s="302"/>
      <c r="N129" s="301"/>
      <c r="O129" s="301"/>
    </row>
    <row r="130" spans="1:16" ht="18" customHeight="1" x14ac:dyDescent="0.25">
      <c r="A130" s="299"/>
      <c r="B130" s="300">
        <v>42187</v>
      </c>
      <c r="C130" s="301">
        <v>2000</v>
      </c>
      <c r="D130" s="302">
        <v>4.97</v>
      </c>
      <c r="E130" s="302"/>
      <c r="F130" s="302">
        <f t="shared" si="5"/>
        <v>9940</v>
      </c>
      <c r="G130" s="303"/>
      <c r="H130" s="301"/>
      <c r="I130" s="302"/>
      <c r="J130" s="302"/>
      <c r="K130" s="302"/>
      <c r="L130" s="303"/>
      <c r="M130" s="302"/>
      <c r="N130" s="301"/>
      <c r="O130" s="301"/>
    </row>
    <row r="131" spans="1:16" ht="18" customHeight="1" x14ac:dyDescent="0.25">
      <c r="A131" s="299"/>
      <c r="B131" s="300">
        <v>42199</v>
      </c>
      <c r="C131" s="301">
        <v>500</v>
      </c>
      <c r="D131" s="302">
        <v>4.8</v>
      </c>
      <c r="E131" s="302"/>
      <c r="F131" s="302">
        <f t="shared" si="5"/>
        <v>2400</v>
      </c>
      <c r="G131" s="303"/>
      <c r="H131" s="301"/>
      <c r="I131" s="302"/>
      <c r="J131" s="302"/>
      <c r="K131" s="302"/>
      <c r="L131" s="303"/>
      <c r="M131" s="302"/>
      <c r="N131" s="301"/>
      <c r="O131" s="301"/>
      <c r="P131" s="142" t="s">
        <v>134</v>
      </c>
    </row>
    <row r="132" spans="1:16" ht="18" customHeight="1" x14ac:dyDescent="0.25">
      <c r="A132" s="299"/>
      <c r="B132" s="300">
        <v>42212</v>
      </c>
      <c r="C132" s="301">
        <v>300</v>
      </c>
      <c r="D132" s="302">
        <v>4.76</v>
      </c>
      <c r="E132" s="302"/>
      <c r="F132" s="302">
        <f t="shared" si="5"/>
        <v>1428</v>
      </c>
      <c r="G132" s="303"/>
      <c r="H132" s="301"/>
      <c r="I132" s="302"/>
      <c r="J132" s="302"/>
      <c r="K132" s="302"/>
      <c r="L132" s="303"/>
      <c r="M132" s="302"/>
      <c r="N132" s="301"/>
      <c r="O132" s="301"/>
    </row>
    <row r="133" spans="1:16" ht="18" customHeight="1" x14ac:dyDescent="0.25">
      <c r="A133" s="299"/>
      <c r="B133" s="300">
        <v>42212</v>
      </c>
      <c r="C133" s="301">
        <v>1700</v>
      </c>
      <c r="D133" s="302">
        <v>4.76</v>
      </c>
      <c r="E133" s="302"/>
      <c r="F133" s="302">
        <f t="shared" si="5"/>
        <v>8092</v>
      </c>
      <c r="G133" s="303"/>
      <c r="H133" s="301"/>
      <c r="I133" s="302"/>
      <c r="J133" s="302"/>
      <c r="K133" s="302"/>
      <c r="L133" s="303"/>
      <c r="M133" s="302"/>
      <c r="N133" s="301"/>
      <c r="O133" s="301"/>
    </row>
    <row r="134" spans="1:16" ht="18" customHeight="1" x14ac:dyDescent="0.25">
      <c r="A134" s="299"/>
      <c r="B134" s="300">
        <v>42214</v>
      </c>
      <c r="C134" s="301">
        <v>500</v>
      </c>
      <c r="D134" s="302">
        <v>4.68</v>
      </c>
      <c r="E134" s="302"/>
      <c r="F134" s="302">
        <f t="shared" si="5"/>
        <v>2340</v>
      </c>
      <c r="G134" s="303"/>
      <c r="H134" s="301"/>
      <c r="I134" s="302"/>
      <c r="J134" s="302"/>
      <c r="K134" s="302"/>
      <c r="L134" s="303"/>
      <c r="M134" s="302"/>
      <c r="N134" s="301"/>
      <c r="O134" s="301"/>
    </row>
    <row r="135" spans="1:16" ht="18" customHeight="1" x14ac:dyDescent="0.25">
      <c r="A135" s="299"/>
      <c r="B135" s="300">
        <v>42214</v>
      </c>
      <c r="C135" s="301">
        <v>50</v>
      </c>
      <c r="D135" s="302">
        <v>4.6500000000000004</v>
      </c>
      <c r="E135" s="302"/>
      <c r="F135" s="302">
        <f t="shared" si="5"/>
        <v>232.50000000000003</v>
      </c>
      <c r="G135" s="303"/>
      <c r="H135" s="301"/>
      <c r="I135" s="302"/>
      <c r="J135" s="302"/>
      <c r="K135" s="302"/>
      <c r="L135" s="303"/>
      <c r="M135" s="302"/>
      <c r="N135" s="301"/>
      <c r="O135" s="301"/>
      <c r="P135" s="142" t="s">
        <v>134</v>
      </c>
    </row>
    <row r="136" spans="1:16" ht="18" customHeight="1" x14ac:dyDescent="0.25">
      <c r="A136" s="299"/>
      <c r="B136" s="300">
        <v>42214</v>
      </c>
      <c r="C136" s="301">
        <v>200</v>
      </c>
      <c r="D136" s="302">
        <v>4.63</v>
      </c>
      <c r="E136" s="302"/>
      <c r="F136" s="302">
        <f t="shared" si="5"/>
        <v>926</v>
      </c>
      <c r="G136" s="303"/>
      <c r="H136" s="301"/>
      <c r="I136" s="302"/>
      <c r="J136" s="302"/>
      <c r="K136" s="302"/>
      <c r="L136" s="303"/>
      <c r="M136" s="302"/>
      <c r="N136" s="301"/>
      <c r="O136" s="301"/>
    </row>
    <row r="137" spans="1:16" ht="18" customHeight="1" x14ac:dyDescent="0.25">
      <c r="A137" s="299"/>
      <c r="B137" s="300">
        <v>42214</v>
      </c>
      <c r="C137" s="301">
        <v>300</v>
      </c>
      <c r="D137" s="302">
        <v>4.59</v>
      </c>
      <c r="E137" s="302"/>
      <c r="F137" s="302">
        <f t="shared" si="5"/>
        <v>1377</v>
      </c>
      <c r="G137" s="303"/>
      <c r="H137" s="301"/>
      <c r="I137" s="302"/>
      <c r="J137" s="302"/>
      <c r="K137" s="302"/>
      <c r="L137" s="303"/>
      <c r="M137" s="302"/>
      <c r="N137" s="301"/>
      <c r="O137" s="301"/>
    </row>
    <row r="138" spans="1:16" ht="18" customHeight="1" x14ac:dyDescent="0.25">
      <c r="A138" s="299"/>
      <c r="B138" s="300">
        <v>42214</v>
      </c>
      <c r="C138" s="301">
        <v>500</v>
      </c>
      <c r="D138" s="302">
        <v>4.54</v>
      </c>
      <c r="E138" s="302"/>
      <c r="F138" s="302">
        <f t="shared" si="5"/>
        <v>2270</v>
      </c>
      <c r="G138" s="303"/>
      <c r="H138" s="301"/>
      <c r="I138" s="302"/>
      <c r="J138" s="302"/>
      <c r="K138" s="302"/>
      <c r="L138" s="303"/>
      <c r="M138" s="302"/>
      <c r="N138" s="301"/>
      <c r="O138" s="301"/>
    </row>
    <row r="139" spans="1:16" ht="18" customHeight="1" x14ac:dyDescent="0.25">
      <c r="A139" s="299"/>
      <c r="B139" s="308"/>
      <c r="C139" s="306">
        <f>SUM(C109:C138)</f>
        <v>19200</v>
      </c>
      <c r="D139" s="307"/>
      <c r="E139" s="307"/>
      <c r="F139" s="307">
        <f>SUM(F109:F138)</f>
        <v>96087.5</v>
      </c>
      <c r="G139" s="308"/>
      <c r="H139" s="306">
        <f>SUM(H109:H138)</f>
        <v>19200</v>
      </c>
      <c r="I139" s="307"/>
      <c r="J139" s="307"/>
      <c r="K139" s="307">
        <f>SUM(K109:K138)</f>
        <v>98256.200000000012</v>
      </c>
      <c r="L139" s="308"/>
      <c r="M139" s="307">
        <f>SUM(M109:M138)</f>
        <v>656.25</v>
      </c>
      <c r="N139" s="307">
        <f>K139-F139</f>
        <v>2168.7000000000116</v>
      </c>
      <c r="O139" s="309">
        <f>(N139+M139)/F139</f>
        <v>2.9399765838428637E-2</v>
      </c>
    </row>
    <row r="140" spans="1:16" ht="18" customHeight="1" x14ac:dyDescent="0.25">
      <c r="B140" s="314"/>
      <c r="C140" s="315"/>
      <c r="D140" s="316"/>
      <c r="E140" s="25"/>
      <c r="F140" s="316"/>
      <c r="G140" s="314"/>
      <c r="H140" s="315"/>
      <c r="I140" s="316"/>
      <c r="K140" s="316"/>
      <c r="L140" s="314"/>
      <c r="M140" s="316"/>
      <c r="N140" s="316"/>
      <c r="O140" s="317"/>
    </row>
    <row r="141" spans="1:16" ht="18" customHeight="1" x14ac:dyDescent="0.25">
      <c r="A141" s="299" t="s">
        <v>25</v>
      </c>
      <c r="B141" s="300">
        <v>42163</v>
      </c>
      <c r="C141" s="301">
        <v>1</v>
      </c>
      <c r="D141" s="302">
        <v>117.3</v>
      </c>
      <c r="E141" s="303"/>
      <c r="F141" s="302">
        <f>C141*D141</f>
        <v>117.3</v>
      </c>
      <c r="G141" s="300">
        <v>42186</v>
      </c>
      <c r="H141" s="301">
        <v>1</v>
      </c>
      <c r="I141" s="302">
        <v>121.6</v>
      </c>
      <c r="J141" s="301">
        <v>0.01</v>
      </c>
      <c r="K141" s="302">
        <f>H141*I141-J141</f>
        <v>121.58999999999999</v>
      </c>
      <c r="L141" s="303"/>
      <c r="M141" s="302"/>
      <c r="N141" s="302"/>
      <c r="O141" s="304"/>
    </row>
    <row r="142" spans="1:16" ht="18" customHeight="1" x14ac:dyDescent="0.25">
      <c r="A142" s="299"/>
      <c r="B142" s="305"/>
      <c r="C142" s="306">
        <f>SUM(C141)</f>
        <v>1</v>
      </c>
      <c r="D142" s="307"/>
      <c r="E142" s="308"/>
      <c r="F142" s="307">
        <f>SUM(F141)</f>
        <v>117.3</v>
      </c>
      <c r="G142" s="308"/>
      <c r="H142" s="306">
        <f>SUM(H141)</f>
        <v>1</v>
      </c>
      <c r="I142" s="307"/>
      <c r="J142" s="306"/>
      <c r="K142" s="307">
        <f>SUM(K141)</f>
        <v>121.58999999999999</v>
      </c>
      <c r="L142" s="308"/>
      <c r="M142" s="307"/>
      <c r="N142" s="307">
        <f>K142-F142</f>
        <v>4.289999999999992</v>
      </c>
      <c r="O142" s="309">
        <f>(N142+M142)/F142</f>
        <v>3.6572890025575379E-2</v>
      </c>
      <c r="P142" s="142" t="s">
        <v>134</v>
      </c>
    </row>
    <row r="143" spans="1:16" ht="18" customHeight="1" x14ac:dyDescent="0.25">
      <c r="B143" s="314"/>
      <c r="C143" s="315"/>
      <c r="D143" s="316"/>
      <c r="E143" s="316"/>
      <c r="F143" s="316"/>
      <c r="G143" s="314"/>
      <c r="H143" s="315"/>
      <c r="I143" s="316"/>
      <c r="J143" s="316"/>
      <c r="K143" s="316"/>
      <c r="L143" s="314"/>
      <c r="M143" s="316"/>
      <c r="N143" s="316"/>
      <c r="O143" s="317"/>
    </row>
    <row r="144" spans="1:16" ht="18" customHeight="1" x14ac:dyDescent="0.25">
      <c r="A144" s="299" t="s">
        <v>36</v>
      </c>
      <c r="B144" s="300">
        <v>42167</v>
      </c>
      <c r="C144" s="301">
        <v>25</v>
      </c>
      <c r="D144" s="302">
        <v>34.15</v>
      </c>
      <c r="E144" s="302"/>
      <c r="F144" s="302">
        <f>C144*D144</f>
        <v>853.75</v>
      </c>
      <c r="G144" s="300">
        <v>42186</v>
      </c>
      <c r="H144" s="301">
        <v>35</v>
      </c>
      <c r="I144" s="302">
        <v>34.799999999999997</v>
      </c>
      <c r="J144" s="302">
        <v>0.02</v>
      </c>
      <c r="K144" s="302">
        <f>H144*I144-J144</f>
        <v>1217.98</v>
      </c>
      <c r="L144" s="303"/>
      <c r="M144" s="302"/>
      <c r="N144" s="302"/>
      <c r="O144" s="304"/>
    </row>
    <row r="145" spans="1:18" ht="18" customHeight="1" x14ac:dyDescent="0.25">
      <c r="A145" s="299"/>
      <c r="B145" s="300">
        <v>42178</v>
      </c>
      <c r="C145" s="301">
        <v>10</v>
      </c>
      <c r="D145" s="302">
        <v>33.119999999999997</v>
      </c>
      <c r="E145" s="302"/>
      <c r="F145" s="302">
        <f>C145*D145</f>
        <v>331.2</v>
      </c>
      <c r="G145" s="303"/>
      <c r="H145" s="301"/>
      <c r="I145" s="302"/>
      <c r="J145" s="302"/>
      <c r="K145" s="302"/>
      <c r="L145" s="303"/>
      <c r="M145" s="302"/>
      <c r="N145" s="302"/>
      <c r="O145" s="304"/>
    </row>
    <row r="146" spans="1:18" ht="18" customHeight="1" x14ac:dyDescent="0.25">
      <c r="A146" s="299"/>
      <c r="B146" s="305"/>
      <c r="C146" s="306">
        <f>SUM(C144:C145)</f>
        <v>35</v>
      </c>
      <c r="D146" s="307"/>
      <c r="E146" s="307"/>
      <c r="F146" s="307">
        <f>SUM(F144:F145)</f>
        <v>1184.95</v>
      </c>
      <c r="G146" s="308"/>
      <c r="H146" s="306">
        <f>SUM(H144:H145)</f>
        <v>35</v>
      </c>
      <c r="I146" s="307"/>
      <c r="J146" s="307"/>
      <c r="K146" s="307">
        <f>SUM(K144:K145)</f>
        <v>1217.98</v>
      </c>
      <c r="L146" s="308"/>
      <c r="M146" s="307"/>
      <c r="N146" s="307">
        <f>K146-F146</f>
        <v>33.029999999999973</v>
      </c>
      <c r="O146" s="309">
        <f>(N146+M146)/F146</f>
        <v>2.7874593864720007E-2</v>
      </c>
    </row>
    <row r="147" spans="1:18" ht="18" customHeight="1" x14ac:dyDescent="0.25">
      <c r="B147" s="314"/>
      <c r="C147" s="315"/>
      <c r="D147" s="316"/>
      <c r="E147" s="25"/>
      <c r="F147" s="316"/>
      <c r="G147" s="314"/>
      <c r="H147" s="315"/>
      <c r="I147" s="316"/>
      <c r="K147" s="316"/>
      <c r="L147" s="314"/>
      <c r="M147" s="316"/>
      <c r="N147" s="316"/>
      <c r="O147" s="317"/>
    </row>
    <row r="148" spans="1:18" ht="18" customHeight="1" x14ac:dyDescent="0.25">
      <c r="A148" s="299" t="s">
        <v>14</v>
      </c>
      <c r="B148" s="300">
        <v>42152</v>
      </c>
      <c r="C148" s="301">
        <v>2</v>
      </c>
      <c r="D148" s="302">
        <v>51.22</v>
      </c>
      <c r="E148" s="303"/>
      <c r="F148" s="302">
        <f>C148*D148</f>
        <v>102.44</v>
      </c>
      <c r="G148" s="300">
        <v>42187</v>
      </c>
      <c r="H148" s="301">
        <v>150</v>
      </c>
      <c r="I148" s="302">
        <v>48.92</v>
      </c>
      <c r="J148" s="301">
        <v>0.12</v>
      </c>
      <c r="K148" s="302">
        <f>H148*I148-J148</f>
        <v>7337.88</v>
      </c>
      <c r="L148" s="300">
        <v>42195</v>
      </c>
      <c r="M148" s="302">
        <v>52</v>
      </c>
      <c r="N148" s="302"/>
      <c r="O148" s="304"/>
    </row>
    <row r="149" spans="1:18" ht="18" customHeight="1" x14ac:dyDescent="0.25">
      <c r="A149" s="299"/>
      <c r="B149" s="300">
        <v>42164</v>
      </c>
      <c r="C149" s="301">
        <v>48</v>
      </c>
      <c r="D149" s="302">
        <v>49.9</v>
      </c>
      <c r="E149" s="303"/>
      <c r="F149" s="302">
        <f>C149*D149</f>
        <v>2395.1999999999998</v>
      </c>
      <c r="G149" s="303"/>
      <c r="H149" s="301"/>
      <c r="I149" s="302"/>
      <c r="J149" s="301"/>
      <c r="K149" s="302"/>
      <c r="L149" s="303"/>
      <c r="M149" s="302"/>
      <c r="N149" s="302"/>
      <c r="O149" s="304"/>
      <c r="P149" s="142" t="s">
        <v>134</v>
      </c>
    </row>
    <row r="150" spans="1:18" ht="18" customHeight="1" x14ac:dyDescent="0.25">
      <c r="A150" s="299"/>
      <c r="B150" s="300">
        <v>42165</v>
      </c>
      <c r="C150" s="301">
        <v>50</v>
      </c>
      <c r="D150" s="302">
        <v>48.6</v>
      </c>
      <c r="E150" s="303"/>
      <c r="F150" s="302">
        <f>C150*D150</f>
        <v>2430</v>
      </c>
      <c r="G150" s="303"/>
      <c r="H150" s="301"/>
      <c r="I150" s="302"/>
      <c r="J150" s="301"/>
      <c r="K150" s="302"/>
      <c r="L150" s="303"/>
      <c r="M150" s="302"/>
      <c r="N150" s="302"/>
      <c r="O150" s="304"/>
    </row>
    <row r="151" spans="1:18" ht="18" customHeight="1" x14ac:dyDescent="0.25">
      <c r="A151" s="299"/>
      <c r="B151" s="300">
        <v>42173</v>
      </c>
      <c r="C151" s="301">
        <v>25</v>
      </c>
      <c r="D151" s="302">
        <v>47.62</v>
      </c>
      <c r="E151" s="303"/>
      <c r="F151" s="302">
        <f>C151*D151</f>
        <v>1190.5</v>
      </c>
      <c r="G151" s="303"/>
      <c r="H151" s="301"/>
      <c r="I151" s="302"/>
      <c r="J151" s="301"/>
      <c r="K151" s="302"/>
      <c r="L151" s="303"/>
      <c r="M151" s="302"/>
      <c r="N151" s="302"/>
      <c r="O151" s="304"/>
      <c r="P151"/>
      <c r="Q151"/>
    </row>
    <row r="152" spans="1:18" ht="18" customHeight="1" x14ac:dyDescent="0.25">
      <c r="A152" s="299"/>
      <c r="B152" s="300">
        <v>42173</v>
      </c>
      <c r="C152" s="301">
        <v>25</v>
      </c>
      <c r="D152" s="302">
        <v>47.54</v>
      </c>
      <c r="E152" s="303"/>
      <c r="F152" s="302">
        <f>C152*D152</f>
        <v>1188.5</v>
      </c>
      <c r="G152" s="303"/>
      <c r="H152" s="301"/>
      <c r="I152" s="302"/>
      <c r="J152" s="301"/>
      <c r="K152" s="302"/>
      <c r="L152" s="303"/>
      <c r="M152" s="302"/>
      <c r="N152" s="302"/>
      <c r="O152" s="304"/>
      <c r="P152"/>
      <c r="Q152"/>
    </row>
    <row r="153" spans="1:18" ht="18" customHeight="1" x14ac:dyDescent="0.25">
      <c r="A153" s="299"/>
      <c r="B153" s="305"/>
      <c r="C153" s="306">
        <f>SUM(C148:C152)</f>
        <v>150</v>
      </c>
      <c r="D153" s="307"/>
      <c r="E153" s="308"/>
      <c r="F153" s="307">
        <f t="shared" ref="F153:M153" si="7">SUM(F148:F152)</f>
        <v>7306.6399999999994</v>
      </c>
      <c r="G153" s="308"/>
      <c r="H153" s="306">
        <f t="shared" si="7"/>
        <v>150</v>
      </c>
      <c r="I153" s="307"/>
      <c r="J153" s="306"/>
      <c r="K153" s="307">
        <f t="shared" si="7"/>
        <v>7337.88</v>
      </c>
      <c r="L153" s="308"/>
      <c r="M153" s="307">
        <f t="shared" si="7"/>
        <v>52</v>
      </c>
      <c r="N153" s="307">
        <f>K153-F153</f>
        <v>31.240000000000691</v>
      </c>
      <c r="O153" s="309">
        <f>(N153+M153)/F153</f>
        <v>1.1392377344442959E-2</v>
      </c>
      <c r="P153"/>
      <c r="Q153"/>
    </row>
    <row r="154" spans="1:18" ht="18" customHeight="1" x14ac:dyDescent="0.25">
      <c r="B154" s="327"/>
      <c r="C154" s="315"/>
      <c r="D154" s="316"/>
      <c r="E154" s="315"/>
      <c r="F154" s="316"/>
      <c r="G154" s="330"/>
      <c r="H154" s="315"/>
      <c r="I154" s="316"/>
      <c r="J154" s="315"/>
      <c r="K154" s="316"/>
      <c r="L154" s="314"/>
      <c r="M154" s="316"/>
      <c r="N154" s="315"/>
      <c r="O154" s="315"/>
      <c r="P154"/>
      <c r="Q154" s="3"/>
      <c r="R154"/>
    </row>
    <row r="155" spans="1:18" ht="18" customHeight="1" x14ac:dyDescent="0.25">
      <c r="A155" s="299" t="s">
        <v>26</v>
      </c>
      <c r="B155" s="300">
        <v>42163</v>
      </c>
      <c r="C155" s="301">
        <v>50</v>
      </c>
      <c r="D155" s="302">
        <v>5.9</v>
      </c>
      <c r="E155" s="301">
        <v>0</v>
      </c>
      <c r="F155" s="302">
        <v>295</v>
      </c>
      <c r="G155" s="329">
        <v>42187</v>
      </c>
      <c r="H155" s="301">
        <v>200</v>
      </c>
      <c r="I155" s="302">
        <v>6.45</v>
      </c>
      <c r="J155" s="301">
        <v>0.02</v>
      </c>
      <c r="K155" s="302">
        <v>1289.98</v>
      </c>
      <c r="L155" s="303"/>
      <c r="M155" s="302"/>
      <c r="N155" s="301"/>
      <c r="O155" s="301"/>
      <c r="P155"/>
      <c r="Q155" s="137"/>
      <c r="R155"/>
    </row>
    <row r="156" spans="1:18" ht="18" customHeight="1" x14ac:dyDescent="0.25">
      <c r="A156" s="299"/>
      <c r="B156" s="300">
        <v>42163</v>
      </c>
      <c r="C156" s="301">
        <v>100</v>
      </c>
      <c r="D156" s="302">
        <v>6.2</v>
      </c>
      <c r="E156" s="301">
        <v>0</v>
      </c>
      <c r="F156" s="302">
        <v>620</v>
      </c>
      <c r="G156" s="329">
        <v>42261</v>
      </c>
      <c r="H156" s="301">
        <v>450</v>
      </c>
      <c r="I156" s="302">
        <v>6.23</v>
      </c>
      <c r="J156" s="301">
        <v>0.05</v>
      </c>
      <c r="K156" s="302">
        <v>2803.45</v>
      </c>
      <c r="L156" s="303"/>
      <c r="M156" s="302"/>
      <c r="N156" s="301"/>
      <c r="O156" s="301"/>
    </row>
    <row r="157" spans="1:18" ht="18" customHeight="1" x14ac:dyDescent="0.25">
      <c r="A157" s="299"/>
      <c r="B157" s="300">
        <v>42187</v>
      </c>
      <c r="C157" s="301">
        <v>200</v>
      </c>
      <c r="D157" s="302">
        <v>6.3</v>
      </c>
      <c r="E157" s="301">
        <v>0</v>
      </c>
      <c r="F157" s="302">
        <v>1260</v>
      </c>
      <c r="G157" s="329"/>
      <c r="H157" s="301"/>
      <c r="I157" s="302"/>
      <c r="J157" s="301"/>
      <c r="K157" s="302"/>
      <c r="L157" s="303"/>
      <c r="M157" s="302"/>
      <c r="N157" s="301"/>
      <c r="O157" s="301"/>
    </row>
    <row r="158" spans="1:18" ht="18" customHeight="1" x14ac:dyDescent="0.25">
      <c r="A158" s="299"/>
      <c r="B158" s="300">
        <v>42194</v>
      </c>
      <c r="C158" s="301">
        <v>150</v>
      </c>
      <c r="D158" s="302">
        <v>6.1</v>
      </c>
      <c r="E158" s="301">
        <v>0</v>
      </c>
      <c r="F158" s="302">
        <v>915</v>
      </c>
      <c r="G158" s="329"/>
      <c r="H158" s="301"/>
      <c r="I158" s="302"/>
      <c r="J158" s="301"/>
      <c r="K158" s="302"/>
      <c r="L158" s="303"/>
      <c r="M158" s="302"/>
      <c r="N158" s="301"/>
      <c r="O158" s="301"/>
    </row>
    <row r="159" spans="1:18" ht="18" customHeight="1" x14ac:dyDescent="0.25">
      <c r="A159" s="299"/>
      <c r="B159" s="300">
        <v>42240</v>
      </c>
      <c r="C159" s="301">
        <v>150</v>
      </c>
      <c r="D159" s="302">
        <v>5.69</v>
      </c>
      <c r="E159" s="301">
        <v>0</v>
      </c>
      <c r="F159" s="302">
        <v>853.50000000000011</v>
      </c>
      <c r="G159" s="329"/>
      <c r="H159" s="301"/>
      <c r="I159" s="302"/>
      <c r="J159" s="301"/>
      <c r="K159" s="302"/>
      <c r="L159" s="303"/>
      <c r="M159" s="302"/>
      <c r="N159" s="301"/>
      <c r="O159" s="301"/>
    </row>
    <row r="160" spans="1:18" ht="18" customHeight="1" x14ac:dyDescent="0.25">
      <c r="A160" s="299"/>
      <c r="B160" s="305"/>
      <c r="C160" s="306">
        <v>650</v>
      </c>
      <c r="D160" s="307"/>
      <c r="E160" s="306"/>
      <c r="F160" s="307">
        <v>3943.5</v>
      </c>
      <c r="G160" s="331"/>
      <c r="H160" s="306">
        <v>650</v>
      </c>
      <c r="I160" s="307"/>
      <c r="J160" s="306"/>
      <c r="K160" s="307">
        <f>SUM(K155:K156)</f>
        <v>4093.43</v>
      </c>
      <c r="L160" s="308"/>
      <c r="M160" s="307"/>
      <c r="N160" s="307">
        <f>K160-F160</f>
        <v>149.92999999999984</v>
      </c>
      <c r="O160" s="309">
        <f>N160/K160</f>
        <v>3.6626985193346374E-2</v>
      </c>
    </row>
    <row r="161" spans="1:16" ht="18" customHeight="1" x14ac:dyDescent="0.25">
      <c r="B161" s="327"/>
      <c r="C161" s="315"/>
      <c r="D161" s="316"/>
      <c r="E161" s="315"/>
      <c r="F161" s="316"/>
      <c r="G161" s="330"/>
      <c r="H161" s="315"/>
      <c r="I161" s="316"/>
      <c r="J161" s="315"/>
      <c r="K161" s="316"/>
      <c r="L161" s="314"/>
      <c r="M161" s="316"/>
      <c r="N161" s="315"/>
      <c r="O161" s="315"/>
      <c r="P161" s="142" t="s">
        <v>134</v>
      </c>
    </row>
    <row r="162" spans="1:16" ht="18" customHeight="1" x14ac:dyDescent="0.25">
      <c r="A162" s="288" t="s">
        <v>26</v>
      </c>
      <c r="B162" s="289">
        <v>42284</v>
      </c>
      <c r="C162" s="290">
        <v>150</v>
      </c>
      <c r="D162" s="291">
        <v>3.75</v>
      </c>
      <c r="E162" s="291">
        <v>0</v>
      </c>
      <c r="F162" s="291">
        <f>D162*C162</f>
        <v>562.5</v>
      </c>
      <c r="G162" s="289">
        <v>42291</v>
      </c>
      <c r="H162" s="292">
        <v>100</v>
      </c>
      <c r="I162" s="291">
        <v>4.4000000000000004</v>
      </c>
      <c r="J162" s="291">
        <v>0.01</v>
      </c>
      <c r="K162" s="290">
        <f>I162*H162-J162</f>
        <v>439.99000000000007</v>
      </c>
      <c r="L162" s="289"/>
      <c r="M162" s="291"/>
      <c r="N162" s="290"/>
      <c r="O162" s="293"/>
    </row>
    <row r="163" spans="1:16" ht="18" customHeight="1" x14ac:dyDescent="0.25">
      <c r="A163" s="334"/>
      <c r="B163" s="702">
        <v>42338</v>
      </c>
      <c r="C163" s="290">
        <v>50</v>
      </c>
      <c r="D163" s="291">
        <v>3.03</v>
      </c>
      <c r="E163" s="291">
        <v>0</v>
      </c>
      <c r="F163" s="291">
        <f>D163*C163</f>
        <v>151.5</v>
      </c>
      <c r="G163" s="289">
        <v>42333</v>
      </c>
      <c r="H163" s="290">
        <v>50</v>
      </c>
      <c r="I163" s="290">
        <v>3.16</v>
      </c>
      <c r="J163" s="290">
        <v>0.01</v>
      </c>
      <c r="K163" s="290">
        <f>I163*H163-J163</f>
        <v>157.99</v>
      </c>
      <c r="L163" s="290"/>
      <c r="M163" s="290"/>
      <c r="N163" s="290"/>
      <c r="O163" s="293"/>
    </row>
    <row r="164" spans="1:16" ht="18" customHeight="1" x14ac:dyDescent="0.25">
      <c r="A164" s="290"/>
      <c r="B164" s="702"/>
      <c r="C164" s="290">
        <v>2</v>
      </c>
      <c r="D164" s="291">
        <v>3.03</v>
      </c>
      <c r="E164" s="291">
        <v>0</v>
      </c>
      <c r="F164" s="291">
        <f>D164*C164</f>
        <v>6.06</v>
      </c>
      <c r="G164" s="289">
        <v>42339</v>
      </c>
      <c r="H164" s="290">
        <v>50</v>
      </c>
      <c r="I164" s="290">
        <v>3.38</v>
      </c>
      <c r="J164" s="290">
        <v>0.01</v>
      </c>
      <c r="K164" s="290">
        <f>I164*H164-J164</f>
        <v>168.99</v>
      </c>
      <c r="L164" s="290"/>
      <c r="M164" s="290"/>
      <c r="N164" s="290"/>
      <c r="O164" s="293"/>
      <c r="P164" s="142" t="s">
        <v>134</v>
      </c>
    </row>
    <row r="165" spans="1:16" ht="18" customHeight="1" x14ac:dyDescent="0.25">
      <c r="A165" s="290"/>
      <c r="B165" s="289">
        <v>42340</v>
      </c>
      <c r="C165" s="290">
        <v>52</v>
      </c>
      <c r="D165" s="291">
        <v>3.2</v>
      </c>
      <c r="E165" s="291">
        <v>0</v>
      </c>
      <c r="F165" s="291">
        <f>D165*C165</f>
        <v>166.4</v>
      </c>
      <c r="G165" s="290"/>
      <c r="H165" s="291">
        <v>54</v>
      </c>
      <c r="I165" s="291">
        <v>1.63</v>
      </c>
      <c r="J165" s="291">
        <v>0</v>
      </c>
      <c r="K165" s="290">
        <f>I165*H165-J165</f>
        <v>88.02</v>
      </c>
      <c r="L165" s="290"/>
      <c r="M165" s="290"/>
      <c r="N165" s="290"/>
      <c r="O165" s="293"/>
    </row>
    <row r="166" spans="1:16" ht="18" customHeight="1" x14ac:dyDescent="0.25">
      <c r="A166" s="293"/>
      <c r="B166" s="293"/>
      <c r="C166" s="293">
        <f>SUM(C162:C165)</f>
        <v>254</v>
      </c>
      <c r="D166" s="293"/>
      <c r="E166" s="296"/>
      <c r="F166" s="293">
        <f>SUM(F162:F165)</f>
        <v>886.45999999999992</v>
      </c>
      <c r="G166" s="293"/>
      <c r="H166" s="297">
        <f>SUM(H162:H165)</f>
        <v>254</v>
      </c>
      <c r="I166" s="293"/>
      <c r="J166" s="293"/>
      <c r="K166" s="293">
        <f>SUM(K162:K165)</f>
        <v>854.99</v>
      </c>
      <c r="L166" s="293"/>
      <c r="M166" s="296">
        <f>SUM(M162:M164)</f>
        <v>0</v>
      </c>
      <c r="N166" s="293">
        <f>K166-F166</f>
        <v>-31.469999999999914</v>
      </c>
      <c r="O166" s="298">
        <f>N166/F166</f>
        <v>-3.5500755815265121E-2</v>
      </c>
    </row>
    <row r="167" spans="1:16" ht="18" customHeight="1" x14ac:dyDescent="0.25">
      <c r="B167" s="327"/>
      <c r="C167" s="315"/>
      <c r="D167" s="316"/>
      <c r="E167" s="315"/>
      <c r="F167" s="316"/>
      <c r="G167" s="330"/>
      <c r="H167" s="315"/>
      <c r="I167" s="316"/>
      <c r="J167" s="315"/>
      <c r="K167" s="316"/>
      <c r="L167" s="314"/>
      <c r="M167" s="316"/>
      <c r="N167" s="315"/>
      <c r="O167" s="315"/>
      <c r="P167" s="142" t="s">
        <v>134</v>
      </c>
    </row>
    <row r="168" spans="1:16" ht="18" customHeight="1" x14ac:dyDescent="0.25">
      <c r="A168" s="299" t="s">
        <v>23</v>
      </c>
      <c r="B168" s="300">
        <v>42153</v>
      </c>
      <c r="C168" s="301">
        <v>50</v>
      </c>
      <c r="D168" s="302">
        <v>37.22</v>
      </c>
      <c r="E168" s="301"/>
      <c r="F168" s="302">
        <f>D168*C168</f>
        <v>1861</v>
      </c>
      <c r="G168" s="329">
        <v>42186</v>
      </c>
      <c r="H168" s="301">
        <v>50</v>
      </c>
      <c r="I168" s="302">
        <v>38.4</v>
      </c>
      <c r="J168" s="301">
        <v>0.04</v>
      </c>
      <c r="K168" s="302">
        <f>H168*I168-J168</f>
        <v>1919.96</v>
      </c>
      <c r="L168" s="303"/>
      <c r="M168" s="302"/>
      <c r="N168" s="301"/>
      <c r="O168" s="301"/>
    </row>
    <row r="169" spans="1:16" ht="18" customHeight="1" x14ac:dyDescent="0.25">
      <c r="A169" s="299"/>
      <c r="B169" s="300">
        <v>42208</v>
      </c>
      <c r="C169" s="301">
        <v>100</v>
      </c>
      <c r="D169" s="302">
        <v>36</v>
      </c>
      <c r="E169" s="303"/>
      <c r="F169" s="302">
        <f>D169*C169</f>
        <v>3600</v>
      </c>
      <c r="G169" s="329">
        <v>42230</v>
      </c>
      <c r="H169" s="301">
        <v>100</v>
      </c>
      <c r="I169" s="302">
        <v>35.96</v>
      </c>
      <c r="J169" s="301">
        <v>7.0000000000000007E-2</v>
      </c>
      <c r="K169" s="302">
        <f>H169*I169-J169</f>
        <v>3595.93</v>
      </c>
      <c r="L169" s="303"/>
      <c r="M169" s="302"/>
      <c r="N169" s="301"/>
      <c r="O169" s="301"/>
    </row>
    <row r="170" spans="1:16" ht="18" customHeight="1" x14ac:dyDescent="0.25">
      <c r="A170" s="299"/>
      <c r="B170" s="300">
        <v>42209</v>
      </c>
      <c r="C170" s="301">
        <v>20</v>
      </c>
      <c r="D170" s="301">
        <f>709.5/20</f>
        <v>35.475000000000001</v>
      </c>
      <c r="E170" s="301"/>
      <c r="F170" s="302">
        <f>D170*C170</f>
        <v>709.5</v>
      </c>
      <c r="G170" s="329">
        <v>42258</v>
      </c>
      <c r="H170" s="301">
        <v>40</v>
      </c>
      <c r="I170" s="302">
        <v>36.65</v>
      </c>
      <c r="J170" s="301">
        <v>0.03</v>
      </c>
      <c r="K170" s="302">
        <f>H170*I170-J170</f>
        <v>1465.97</v>
      </c>
      <c r="L170" s="303"/>
      <c r="M170" s="302"/>
      <c r="N170" s="301"/>
      <c r="O170" s="301"/>
    </row>
    <row r="171" spans="1:16" ht="18" customHeight="1" x14ac:dyDescent="0.25">
      <c r="A171" s="299"/>
      <c r="B171" s="300">
        <v>42209</v>
      </c>
      <c r="C171" s="301">
        <v>20</v>
      </c>
      <c r="D171" s="302">
        <v>35.03</v>
      </c>
      <c r="E171" s="303"/>
      <c r="F171" s="302">
        <f>D171*C171</f>
        <v>700.6</v>
      </c>
      <c r="G171" s="329"/>
      <c r="H171" s="301"/>
      <c r="I171" s="302"/>
      <c r="J171" s="301"/>
      <c r="K171" s="302"/>
      <c r="L171" s="303"/>
      <c r="M171" s="302"/>
      <c r="N171" s="301"/>
      <c r="O171" s="301"/>
      <c r="P171" s="142" t="s">
        <v>134</v>
      </c>
    </row>
    <row r="172" spans="1:16" ht="18" customHeight="1" x14ac:dyDescent="0.25">
      <c r="A172" s="299"/>
      <c r="B172" s="305"/>
      <c r="C172" s="306">
        <v>190</v>
      </c>
      <c r="D172" s="307"/>
      <c r="E172" s="306"/>
      <c r="F172" s="307">
        <f>SUM(F168:F171)</f>
        <v>6871.1</v>
      </c>
      <c r="G172" s="331"/>
      <c r="H172" s="306">
        <v>190</v>
      </c>
      <c r="I172" s="307"/>
      <c r="J172" s="306"/>
      <c r="K172" s="307">
        <f>SUM(K168:K170)</f>
        <v>6981.86</v>
      </c>
      <c r="L172" s="308"/>
      <c r="M172" s="307"/>
      <c r="N172" s="306">
        <f>K172-F172</f>
        <v>110.75999999999931</v>
      </c>
      <c r="O172" s="309">
        <f>(N172+M172)/F172</f>
        <v>1.6119689714892711E-2</v>
      </c>
      <c r="P172" s="142"/>
    </row>
    <row r="173" spans="1:16" ht="18" customHeight="1" x14ac:dyDescent="0.25">
      <c r="B173" s="314"/>
      <c r="C173" s="315"/>
      <c r="D173" s="316"/>
      <c r="E173" s="316"/>
      <c r="F173" s="316"/>
      <c r="G173" s="314"/>
      <c r="H173" s="315"/>
      <c r="I173" s="316"/>
      <c r="J173" s="316"/>
      <c r="K173" s="316"/>
      <c r="L173" s="314"/>
      <c r="M173" s="316"/>
      <c r="N173" s="316"/>
      <c r="O173" s="317"/>
      <c r="P173" s="142"/>
    </row>
    <row r="174" spans="1:16" ht="18" customHeight="1" x14ac:dyDescent="0.25">
      <c r="A174" s="299" t="s">
        <v>41</v>
      </c>
      <c r="B174" s="300">
        <v>42184</v>
      </c>
      <c r="C174" s="301">
        <v>10</v>
      </c>
      <c r="D174" s="302">
        <v>66</v>
      </c>
      <c r="E174" s="302"/>
      <c r="F174" s="302">
        <f>C174*D174</f>
        <v>660</v>
      </c>
      <c r="G174" s="300">
        <v>42219</v>
      </c>
      <c r="H174" s="301">
        <v>10</v>
      </c>
      <c r="I174" s="302">
        <v>70.45</v>
      </c>
      <c r="J174" s="302">
        <v>0.01</v>
      </c>
      <c r="K174" s="302">
        <f>H174*I174-J174</f>
        <v>704.49</v>
      </c>
      <c r="L174" s="303"/>
      <c r="M174" s="302"/>
      <c r="N174" s="302"/>
      <c r="O174" s="304"/>
      <c r="P174" s="142"/>
    </row>
    <row r="175" spans="1:16" ht="18" customHeight="1" x14ac:dyDescent="0.25">
      <c r="A175" s="299"/>
      <c r="B175" s="305"/>
      <c r="C175" s="306">
        <f>SUM(C174)</f>
        <v>10</v>
      </c>
      <c r="D175" s="307"/>
      <c r="E175" s="307"/>
      <c r="F175" s="307">
        <f>SUM(F174)</f>
        <v>660</v>
      </c>
      <c r="G175" s="308"/>
      <c r="H175" s="306">
        <f>SUM(H174)</f>
        <v>10</v>
      </c>
      <c r="I175" s="307"/>
      <c r="J175" s="307"/>
      <c r="K175" s="307">
        <f>SUM(K174)</f>
        <v>704.49</v>
      </c>
      <c r="L175" s="308"/>
      <c r="M175" s="307"/>
      <c r="N175" s="307">
        <f>K175-F175</f>
        <v>44.490000000000009</v>
      </c>
      <c r="O175" s="309">
        <f>(N175+M175)/F175</f>
        <v>6.7409090909090918E-2</v>
      </c>
      <c r="P175" s="142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299" t="s">
        <v>35</v>
      </c>
      <c r="B177" s="300">
        <v>42166</v>
      </c>
      <c r="C177" s="301">
        <v>10</v>
      </c>
      <c r="D177" s="302">
        <v>55.7</v>
      </c>
      <c r="E177" s="302">
        <v>0</v>
      </c>
      <c r="F177" s="302">
        <f t="shared" ref="F177:F203" si="8">C177*D177+E177</f>
        <v>557</v>
      </c>
      <c r="G177" s="300">
        <v>42208</v>
      </c>
      <c r="H177" s="301">
        <v>10</v>
      </c>
      <c r="I177" s="302">
        <v>56</v>
      </c>
      <c r="J177" s="302">
        <v>0.01</v>
      </c>
      <c r="K177" s="302">
        <f t="shared" ref="K177:K200" si="9">H177*I177-J177</f>
        <v>559.99</v>
      </c>
      <c r="L177" s="303"/>
      <c r="M177" s="302"/>
      <c r="N177" s="302"/>
      <c r="O177" s="304"/>
    </row>
    <row r="178" spans="1:16" ht="18" customHeight="1" x14ac:dyDescent="0.25">
      <c r="A178" s="299"/>
      <c r="B178" s="300">
        <v>42205</v>
      </c>
      <c r="C178" s="301">
        <v>10</v>
      </c>
      <c r="D178" s="302">
        <v>52.6</v>
      </c>
      <c r="E178" s="302">
        <v>0</v>
      </c>
      <c r="F178" s="302">
        <f t="shared" si="8"/>
        <v>526</v>
      </c>
      <c r="G178" s="300">
        <v>42234</v>
      </c>
      <c r="H178" s="301">
        <v>25</v>
      </c>
      <c r="I178" s="302">
        <v>50.88</v>
      </c>
      <c r="J178" s="302">
        <v>0.02</v>
      </c>
      <c r="K178" s="302">
        <f t="shared" si="9"/>
        <v>1271.98</v>
      </c>
      <c r="L178" s="303"/>
      <c r="M178" s="302"/>
      <c r="N178" s="302"/>
      <c r="O178" s="304"/>
      <c r="P178" s="142"/>
    </row>
    <row r="179" spans="1:16" ht="18" customHeight="1" x14ac:dyDescent="0.25">
      <c r="A179" s="299"/>
      <c r="B179" s="300">
        <v>42229</v>
      </c>
      <c r="C179" s="301">
        <v>15</v>
      </c>
      <c r="D179" s="302">
        <v>50.9</v>
      </c>
      <c r="E179" s="302">
        <v>0</v>
      </c>
      <c r="F179" s="302">
        <f t="shared" si="8"/>
        <v>763.5</v>
      </c>
      <c r="G179" s="300">
        <v>42314</v>
      </c>
      <c r="H179" s="301">
        <v>150</v>
      </c>
      <c r="I179" s="302">
        <v>31.5</v>
      </c>
      <c r="J179" s="302">
        <v>0.09</v>
      </c>
      <c r="K179" s="302">
        <f t="shared" si="9"/>
        <v>4724.91</v>
      </c>
      <c r="L179" s="303"/>
      <c r="M179" s="302"/>
      <c r="N179" s="302"/>
      <c r="O179" s="304"/>
    </row>
    <row r="180" spans="1:16" ht="18" customHeight="1" x14ac:dyDescent="0.25">
      <c r="A180" s="299"/>
      <c r="B180" s="300">
        <v>42233</v>
      </c>
      <c r="C180" s="301">
        <v>15</v>
      </c>
      <c r="D180" s="302">
        <v>46.8</v>
      </c>
      <c r="E180" s="302">
        <v>0</v>
      </c>
      <c r="F180" s="302">
        <f t="shared" si="8"/>
        <v>702</v>
      </c>
      <c r="G180" s="300">
        <v>42317</v>
      </c>
      <c r="H180" s="301">
        <v>150</v>
      </c>
      <c r="I180" s="302">
        <v>31.5</v>
      </c>
      <c r="J180" s="302">
        <v>0.09</v>
      </c>
      <c r="K180" s="302">
        <f t="shared" si="9"/>
        <v>4724.91</v>
      </c>
      <c r="L180" s="303"/>
      <c r="M180" s="302"/>
      <c r="N180" s="302"/>
      <c r="O180" s="304"/>
    </row>
    <row r="181" spans="1:16" ht="18" customHeight="1" x14ac:dyDescent="0.25">
      <c r="A181" s="299"/>
      <c r="B181" s="300">
        <v>42233</v>
      </c>
      <c r="C181" s="301">
        <v>20</v>
      </c>
      <c r="D181" s="302">
        <v>47.45</v>
      </c>
      <c r="E181" s="302">
        <v>0</v>
      </c>
      <c r="F181" s="302">
        <f t="shared" si="8"/>
        <v>949</v>
      </c>
      <c r="G181" s="300">
        <v>42340</v>
      </c>
      <c r="H181" s="301">
        <v>150</v>
      </c>
      <c r="I181" s="302">
        <v>30.55</v>
      </c>
      <c r="J181" s="302">
        <v>0.08</v>
      </c>
      <c r="K181" s="302">
        <f t="shared" si="9"/>
        <v>4582.42</v>
      </c>
      <c r="L181" s="303"/>
      <c r="M181" s="302"/>
      <c r="N181" s="302"/>
      <c r="O181" s="304"/>
      <c r="P181" s="142"/>
    </row>
    <row r="182" spans="1:16" ht="18" customHeight="1" x14ac:dyDescent="0.25">
      <c r="A182" s="299"/>
      <c r="B182" s="300">
        <v>42298</v>
      </c>
      <c r="C182" s="301">
        <v>35</v>
      </c>
      <c r="D182" s="302">
        <v>44.3</v>
      </c>
      <c r="E182" s="302">
        <v>0</v>
      </c>
      <c r="F182" s="302">
        <f t="shared" si="8"/>
        <v>1550.5</v>
      </c>
      <c r="G182" s="300">
        <v>42342</v>
      </c>
      <c r="H182" s="301">
        <v>150</v>
      </c>
      <c r="I182" s="302">
        <v>30.45</v>
      </c>
      <c r="J182" s="302">
        <v>0.08</v>
      </c>
      <c r="K182" s="302">
        <f t="shared" si="9"/>
        <v>4567.42</v>
      </c>
      <c r="L182" s="303"/>
      <c r="M182" s="302"/>
      <c r="N182" s="302"/>
      <c r="O182" s="304"/>
    </row>
    <row r="183" spans="1:16" ht="18" customHeight="1" x14ac:dyDescent="0.25">
      <c r="A183" s="299"/>
      <c r="B183" s="300">
        <v>42299</v>
      </c>
      <c r="C183" s="301">
        <v>70</v>
      </c>
      <c r="D183" s="302">
        <v>41.35</v>
      </c>
      <c r="E183" s="302">
        <v>0</v>
      </c>
      <c r="F183" s="302">
        <f t="shared" si="8"/>
        <v>2894.5</v>
      </c>
      <c r="G183" s="300">
        <v>42345</v>
      </c>
      <c r="H183" s="301">
        <v>100</v>
      </c>
      <c r="I183" s="302">
        <v>34.5</v>
      </c>
      <c r="J183" s="302">
        <v>0.06</v>
      </c>
      <c r="K183" s="302">
        <f t="shared" si="9"/>
        <v>3449.94</v>
      </c>
      <c r="L183" s="303"/>
      <c r="M183" s="302"/>
      <c r="N183" s="302"/>
      <c r="O183" s="304"/>
    </row>
    <row r="184" spans="1:16" ht="18" customHeight="1" x14ac:dyDescent="0.25">
      <c r="A184" s="299"/>
      <c r="B184" s="300">
        <v>42299</v>
      </c>
      <c r="C184" s="301">
        <v>60</v>
      </c>
      <c r="D184" s="302">
        <v>40.229999999999997</v>
      </c>
      <c r="E184" s="302">
        <v>0</v>
      </c>
      <c r="F184" s="302">
        <f t="shared" si="8"/>
        <v>2413.7999999999997</v>
      </c>
      <c r="G184" s="300">
        <v>42356</v>
      </c>
      <c r="H184" s="301">
        <v>150</v>
      </c>
      <c r="I184" s="302">
        <v>43.25</v>
      </c>
      <c r="J184" s="302">
        <v>0.12</v>
      </c>
      <c r="K184" s="302">
        <f t="shared" si="9"/>
        <v>6487.38</v>
      </c>
      <c r="L184" s="303"/>
      <c r="M184" s="302"/>
      <c r="N184" s="302"/>
      <c r="O184" s="304"/>
    </row>
    <row r="185" spans="1:16" ht="18" customHeight="1" x14ac:dyDescent="0.25">
      <c r="A185" s="299"/>
      <c r="B185" s="300">
        <v>42300</v>
      </c>
      <c r="C185" s="301">
        <v>100</v>
      </c>
      <c r="D185" s="302">
        <v>39.57</v>
      </c>
      <c r="E185" s="302">
        <v>0</v>
      </c>
      <c r="F185" s="302">
        <f t="shared" si="8"/>
        <v>3957</v>
      </c>
      <c r="G185" s="300">
        <v>42359</v>
      </c>
      <c r="H185" s="301">
        <v>20</v>
      </c>
      <c r="I185" s="302">
        <v>51.05</v>
      </c>
      <c r="J185" s="302">
        <v>0.02</v>
      </c>
      <c r="K185" s="302">
        <f t="shared" si="9"/>
        <v>1020.98</v>
      </c>
      <c r="L185" s="303"/>
      <c r="M185" s="302"/>
      <c r="N185" s="302"/>
      <c r="O185" s="304"/>
    </row>
    <row r="186" spans="1:16" ht="18" customHeight="1" x14ac:dyDescent="0.25">
      <c r="A186" s="299"/>
      <c r="B186" s="300">
        <v>42304</v>
      </c>
      <c r="C186" s="301">
        <v>100</v>
      </c>
      <c r="D186" s="302">
        <v>37.950000000000003</v>
      </c>
      <c r="E186" s="302">
        <v>0</v>
      </c>
      <c r="F186" s="302">
        <f t="shared" si="8"/>
        <v>3795.0000000000005</v>
      </c>
      <c r="G186" s="300">
        <v>42361</v>
      </c>
      <c r="H186" s="301">
        <v>30</v>
      </c>
      <c r="I186" s="302">
        <v>57.95</v>
      </c>
      <c r="J186" s="302">
        <v>0.03</v>
      </c>
      <c r="K186" s="302">
        <f t="shared" si="9"/>
        <v>1738.47</v>
      </c>
      <c r="L186" s="303"/>
      <c r="M186" s="302"/>
      <c r="N186" s="302"/>
      <c r="O186" s="304"/>
    </row>
    <row r="187" spans="1:16" ht="18" customHeight="1" x14ac:dyDescent="0.25">
      <c r="A187" s="299"/>
      <c r="B187" s="300">
        <v>42311</v>
      </c>
      <c r="C187" s="301">
        <v>150</v>
      </c>
      <c r="D187" s="302">
        <v>30.5</v>
      </c>
      <c r="E187" s="302">
        <v>6.95</v>
      </c>
      <c r="F187" s="302">
        <f t="shared" si="8"/>
        <v>4581.95</v>
      </c>
      <c r="G187" s="300">
        <v>42426</v>
      </c>
      <c r="H187" s="301">
        <v>50</v>
      </c>
      <c r="I187" s="302">
        <v>19.149999999999999</v>
      </c>
      <c r="J187" s="302">
        <v>0.02</v>
      </c>
      <c r="K187" s="302">
        <f t="shared" si="9"/>
        <v>957.4799999999999</v>
      </c>
      <c r="L187" s="303"/>
      <c r="M187" s="302"/>
      <c r="N187" s="302"/>
      <c r="O187" s="304"/>
    </row>
    <row r="188" spans="1:16" ht="18" customHeight="1" x14ac:dyDescent="0.25">
      <c r="A188" s="299"/>
      <c r="B188" s="300">
        <v>42314</v>
      </c>
      <c r="C188" s="301">
        <v>150</v>
      </c>
      <c r="D188" s="302">
        <v>30.65</v>
      </c>
      <c r="E188" s="302">
        <v>0</v>
      </c>
      <c r="F188" s="302">
        <f t="shared" si="8"/>
        <v>4597.5</v>
      </c>
      <c r="G188" s="300">
        <v>42430</v>
      </c>
      <c r="H188" s="301">
        <v>75</v>
      </c>
      <c r="I188" s="302">
        <v>18.350000000000001</v>
      </c>
      <c r="J188" s="302">
        <v>0.03</v>
      </c>
      <c r="K188" s="302">
        <f t="shared" si="9"/>
        <v>1376.22</v>
      </c>
      <c r="L188" s="303"/>
      <c r="M188" s="302"/>
      <c r="N188" s="302"/>
      <c r="O188" s="304"/>
    </row>
    <row r="189" spans="1:16" ht="18" customHeight="1" x14ac:dyDescent="0.25">
      <c r="A189" s="299"/>
      <c r="B189" s="300">
        <v>42317</v>
      </c>
      <c r="C189" s="301">
        <v>150</v>
      </c>
      <c r="D189" s="302">
        <v>30.65</v>
      </c>
      <c r="E189" s="302">
        <v>0</v>
      </c>
      <c r="F189" s="302">
        <f t="shared" si="8"/>
        <v>4597.5</v>
      </c>
      <c r="G189" s="300">
        <v>42432</v>
      </c>
      <c r="H189" s="301">
        <v>50</v>
      </c>
      <c r="I189" s="302">
        <v>20.67</v>
      </c>
      <c r="J189" s="302">
        <v>0.02</v>
      </c>
      <c r="K189" s="302">
        <f t="shared" si="9"/>
        <v>1033.48</v>
      </c>
      <c r="L189" s="303"/>
      <c r="M189" s="302"/>
      <c r="N189" s="302"/>
      <c r="O189" s="304"/>
    </row>
    <row r="190" spans="1:16" ht="18" customHeight="1" x14ac:dyDescent="0.25">
      <c r="A190" s="302"/>
      <c r="B190" s="300">
        <v>42340</v>
      </c>
      <c r="C190" s="301">
        <v>150</v>
      </c>
      <c r="D190" s="302">
        <v>30.21</v>
      </c>
      <c r="E190" s="302">
        <v>0</v>
      </c>
      <c r="F190" s="302">
        <f t="shared" si="8"/>
        <v>4531.5</v>
      </c>
      <c r="G190" s="300">
        <v>42437</v>
      </c>
      <c r="H190" s="301">
        <v>25</v>
      </c>
      <c r="I190" s="302">
        <v>26.85</v>
      </c>
      <c r="J190" s="302">
        <v>0.01</v>
      </c>
      <c r="K190" s="302">
        <f t="shared" si="9"/>
        <v>671.24</v>
      </c>
      <c r="L190" s="302"/>
      <c r="M190" s="302"/>
      <c r="N190" s="302"/>
      <c r="O190" s="302"/>
      <c r="P190" s="142"/>
    </row>
    <row r="191" spans="1:16" ht="18" customHeight="1" x14ac:dyDescent="0.25">
      <c r="A191" s="302"/>
      <c r="B191" s="300">
        <v>42408</v>
      </c>
      <c r="C191" s="301">
        <v>25</v>
      </c>
      <c r="D191" s="302">
        <v>26.59</v>
      </c>
      <c r="E191" s="302">
        <v>0</v>
      </c>
      <c r="F191" s="302">
        <f t="shared" si="8"/>
        <v>664.75</v>
      </c>
      <c r="G191" s="300">
        <v>42466</v>
      </c>
      <c r="H191" s="301">
        <v>30</v>
      </c>
      <c r="I191" s="302">
        <v>28.08</v>
      </c>
      <c r="J191" s="302">
        <v>0.02</v>
      </c>
      <c r="K191" s="302">
        <f t="shared" si="9"/>
        <v>842.38</v>
      </c>
      <c r="L191" s="302"/>
      <c r="M191" s="302"/>
      <c r="N191" s="302"/>
      <c r="O191" s="302"/>
    </row>
    <row r="192" spans="1:16" ht="18" customHeight="1" x14ac:dyDescent="0.25">
      <c r="A192" s="302"/>
      <c r="B192" s="300">
        <v>42423</v>
      </c>
      <c r="C192" s="301">
        <v>50</v>
      </c>
      <c r="D192" s="302">
        <v>18.149999999999999</v>
      </c>
      <c r="E192" s="302">
        <v>0</v>
      </c>
      <c r="F192" s="302">
        <f t="shared" si="8"/>
        <v>907.49999999999989</v>
      </c>
      <c r="G192" s="300">
        <v>42471</v>
      </c>
      <c r="H192" s="301">
        <v>30</v>
      </c>
      <c r="I192" s="302">
        <v>29.37</v>
      </c>
      <c r="J192" s="302">
        <v>0.02</v>
      </c>
      <c r="K192" s="302">
        <f t="shared" si="9"/>
        <v>881.08</v>
      </c>
      <c r="L192" s="302"/>
      <c r="M192" s="302"/>
      <c r="N192" s="302"/>
      <c r="O192" s="302"/>
    </row>
    <row r="193" spans="1:16" ht="18" customHeight="1" x14ac:dyDescent="0.25">
      <c r="A193" s="302"/>
      <c r="B193" s="300">
        <v>42426</v>
      </c>
      <c r="C193" s="301">
        <v>50</v>
      </c>
      <c r="D193" s="302">
        <v>18.7</v>
      </c>
      <c r="E193" s="302">
        <v>0</v>
      </c>
      <c r="F193" s="302">
        <f t="shared" si="8"/>
        <v>935</v>
      </c>
      <c r="G193" s="300">
        <v>42480</v>
      </c>
      <c r="H193" s="301">
        <v>100</v>
      </c>
      <c r="I193" s="302">
        <v>31.79</v>
      </c>
      <c r="J193" s="302">
        <v>7.0000000000000007E-2</v>
      </c>
      <c r="K193" s="302">
        <f t="shared" si="9"/>
        <v>3178.93</v>
      </c>
      <c r="L193" s="302"/>
      <c r="M193" s="302"/>
      <c r="N193" s="302"/>
      <c r="O193" s="302"/>
    </row>
    <row r="194" spans="1:16" ht="18" customHeight="1" x14ac:dyDescent="0.25">
      <c r="A194" s="302"/>
      <c r="B194" s="300">
        <v>42430</v>
      </c>
      <c r="C194" s="301">
        <v>75</v>
      </c>
      <c r="D194" s="302">
        <v>17.989999999999998</v>
      </c>
      <c r="E194" s="302">
        <v>0</v>
      </c>
      <c r="F194" s="302">
        <f t="shared" si="8"/>
        <v>1349.2499999999998</v>
      </c>
      <c r="G194" s="300">
        <v>42486</v>
      </c>
      <c r="H194" s="301">
        <v>60</v>
      </c>
      <c r="I194" s="302">
        <v>32.5</v>
      </c>
      <c r="J194" s="302">
        <v>0.04</v>
      </c>
      <c r="K194" s="302">
        <f t="shared" si="9"/>
        <v>1949.96</v>
      </c>
      <c r="L194" s="302"/>
      <c r="M194" s="302"/>
      <c r="N194" s="302"/>
      <c r="O194" s="302"/>
    </row>
    <row r="195" spans="1:16" ht="18" customHeight="1" x14ac:dyDescent="0.25">
      <c r="A195" s="302"/>
      <c r="B195" s="300">
        <v>42451</v>
      </c>
      <c r="C195" s="301">
        <v>30</v>
      </c>
      <c r="D195" s="302">
        <v>25.08</v>
      </c>
      <c r="E195" s="302">
        <v>0</v>
      </c>
      <c r="F195" s="302">
        <f t="shared" si="8"/>
        <v>752.4</v>
      </c>
      <c r="G195" s="300">
        <v>42500</v>
      </c>
      <c r="H195" s="301">
        <v>200</v>
      </c>
      <c r="I195" s="302">
        <v>18.649999999999999</v>
      </c>
      <c r="J195" s="302">
        <v>0.08</v>
      </c>
      <c r="K195" s="302">
        <f t="shared" si="9"/>
        <v>3729.9199999999996</v>
      </c>
      <c r="L195" s="302"/>
      <c r="M195" s="302"/>
      <c r="N195" s="302"/>
      <c r="O195" s="302"/>
    </row>
    <row r="196" spans="1:16" ht="18" customHeight="1" x14ac:dyDescent="0.25">
      <c r="A196" s="302"/>
      <c r="B196" s="300">
        <v>42471</v>
      </c>
      <c r="C196" s="301">
        <v>30</v>
      </c>
      <c r="D196" s="302">
        <v>28.67</v>
      </c>
      <c r="E196" s="302">
        <v>0</v>
      </c>
      <c r="F196" s="302">
        <f t="shared" si="8"/>
        <v>860.1</v>
      </c>
      <c r="G196" s="300">
        <v>42510</v>
      </c>
      <c r="H196" s="301">
        <v>130</v>
      </c>
      <c r="I196" s="302">
        <v>21.35</v>
      </c>
      <c r="J196" s="302">
        <v>0.06</v>
      </c>
      <c r="K196" s="302">
        <f t="shared" si="9"/>
        <v>2775.44</v>
      </c>
      <c r="L196" s="302"/>
      <c r="M196" s="302"/>
      <c r="N196" s="302"/>
      <c r="O196" s="302"/>
    </row>
    <row r="197" spans="1:16" ht="18" customHeight="1" x14ac:dyDescent="0.25">
      <c r="A197" s="302"/>
      <c r="B197" s="300">
        <v>42485</v>
      </c>
      <c r="C197" s="301">
        <v>100</v>
      </c>
      <c r="D197" s="302">
        <v>31.25</v>
      </c>
      <c r="E197" s="302">
        <v>0</v>
      </c>
      <c r="F197" s="302">
        <f t="shared" si="8"/>
        <v>3125</v>
      </c>
      <c r="G197" s="300">
        <v>42513</v>
      </c>
      <c r="H197" s="301">
        <v>70</v>
      </c>
      <c r="I197" s="302">
        <v>23.68</v>
      </c>
      <c r="J197" s="302">
        <v>0.04</v>
      </c>
      <c r="K197" s="302">
        <f t="shared" si="9"/>
        <v>1657.56</v>
      </c>
      <c r="L197" s="302"/>
      <c r="M197" s="302"/>
      <c r="N197" s="302"/>
      <c r="O197" s="302"/>
      <c r="P197" s="142"/>
    </row>
    <row r="198" spans="1:16" ht="18" customHeight="1" x14ac:dyDescent="0.25">
      <c r="A198" s="302"/>
      <c r="B198" s="300">
        <v>42489</v>
      </c>
      <c r="C198" s="301">
        <v>60</v>
      </c>
      <c r="D198" s="302">
        <v>30.51</v>
      </c>
      <c r="E198" s="302">
        <v>0</v>
      </c>
      <c r="F198" s="302">
        <f t="shared" si="8"/>
        <v>1830.6000000000001</v>
      </c>
      <c r="G198" s="300">
        <v>42513</v>
      </c>
      <c r="H198" s="301">
        <v>40</v>
      </c>
      <c r="I198" s="302">
        <v>23.55</v>
      </c>
      <c r="J198" s="302">
        <v>0.02</v>
      </c>
      <c r="K198" s="302">
        <f t="shared" si="9"/>
        <v>941.98</v>
      </c>
      <c r="L198" s="302"/>
      <c r="M198" s="302"/>
      <c r="N198" s="302"/>
      <c r="O198" s="302"/>
    </row>
    <row r="199" spans="1:16" ht="18" customHeight="1" x14ac:dyDescent="0.25">
      <c r="A199" s="302"/>
      <c r="B199" s="300">
        <v>42493</v>
      </c>
      <c r="C199" s="301">
        <v>30</v>
      </c>
      <c r="D199" s="302">
        <v>26.75</v>
      </c>
      <c r="E199" s="302">
        <v>0</v>
      </c>
      <c r="F199" s="302">
        <f t="shared" si="8"/>
        <v>802.5</v>
      </c>
      <c r="G199" s="300">
        <v>42527</v>
      </c>
      <c r="H199" s="301">
        <v>60</v>
      </c>
      <c r="I199" s="302">
        <v>22.79</v>
      </c>
      <c r="J199" s="302">
        <v>0.03</v>
      </c>
      <c r="K199" s="302">
        <f t="shared" si="9"/>
        <v>1367.37</v>
      </c>
      <c r="L199" s="302"/>
      <c r="M199" s="302"/>
      <c r="N199" s="302"/>
      <c r="O199" s="302"/>
    </row>
    <row r="200" spans="1:16" ht="18" customHeight="1" x14ac:dyDescent="0.25">
      <c r="A200" s="302"/>
      <c r="B200" s="300">
        <v>42495</v>
      </c>
      <c r="C200" s="301">
        <v>70</v>
      </c>
      <c r="D200" s="302">
        <v>21.65</v>
      </c>
      <c r="E200" s="302">
        <v>0</v>
      </c>
      <c r="F200" s="302">
        <f t="shared" si="8"/>
        <v>1515.5</v>
      </c>
      <c r="G200" s="300">
        <v>42541</v>
      </c>
      <c r="H200" s="301">
        <v>70</v>
      </c>
      <c r="I200" s="302">
        <v>22.45</v>
      </c>
      <c r="J200" s="302">
        <v>0.03</v>
      </c>
      <c r="K200" s="302">
        <f t="shared" si="9"/>
        <v>1571.47</v>
      </c>
      <c r="L200" s="302"/>
      <c r="M200" s="302"/>
      <c r="N200" s="302"/>
      <c r="O200" s="302"/>
      <c r="P200" s="142"/>
    </row>
    <row r="201" spans="1:16" ht="18" customHeight="1" x14ac:dyDescent="0.25">
      <c r="A201" s="302"/>
      <c r="B201" s="300">
        <v>42500</v>
      </c>
      <c r="C201" s="301">
        <v>200</v>
      </c>
      <c r="D201" s="302">
        <v>18.25</v>
      </c>
      <c r="E201" s="302">
        <v>0</v>
      </c>
      <c r="F201" s="302">
        <f t="shared" si="8"/>
        <v>3650</v>
      </c>
      <c r="G201" s="302"/>
      <c r="H201" s="302"/>
      <c r="I201" s="302"/>
      <c r="J201" s="302"/>
      <c r="K201" s="302"/>
      <c r="L201" s="302"/>
      <c r="M201" s="302"/>
      <c r="N201" s="302"/>
      <c r="O201" s="302"/>
      <c r="P201" s="142"/>
    </row>
    <row r="202" spans="1:16" ht="18" customHeight="1" x14ac:dyDescent="0.25">
      <c r="A202" s="302"/>
      <c r="B202" s="300">
        <v>42500</v>
      </c>
      <c r="C202" s="301">
        <v>100</v>
      </c>
      <c r="D202" s="302">
        <v>16.510000000000002</v>
      </c>
      <c r="E202" s="302">
        <v>0</v>
      </c>
      <c r="F202" s="302">
        <f t="shared" si="8"/>
        <v>1651.0000000000002</v>
      </c>
      <c r="G202" s="302"/>
      <c r="H202" s="302"/>
      <c r="I202" s="302"/>
      <c r="J202" s="302"/>
      <c r="K202" s="302"/>
      <c r="L202" s="302"/>
      <c r="M202" s="302"/>
      <c r="N202" s="302"/>
      <c r="O202" s="302"/>
    </row>
    <row r="203" spans="1:16" ht="18" customHeight="1" x14ac:dyDescent="0.25">
      <c r="A203" s="299"/>
      <c r="B203" s="328">
        <v>42531</v>
      </c>
      <c r="C203" s="301">
        <v>70</v>
      </c>
      <c r="D203" s="326">
        <v>21.65</v>
      </c>
      <c r="E203" s="302">
        <v>0</v>
      </c>
      <c r="F203" s="326">
        <f t="shared" si="8"/>
        <v>1515.5</v>
      </c>
      <c r="G203" s="328"/>
      <c r="H203" s="325"/>
      <c r="I203" s="326"/>
      <c r="J203" s="325"/>
      <c r="K203" s="326"/>
      <c r="L203" s="324"/>
      <c r="M203" s="326"/>
      <c r="N203" s="321"/>
      <c r="O203" s="323"/>
    </row>
    <row r="204" spans="1:16" ht="18" customHeight="1" x14ac:dyDescent="0.25">
      <c r="A204" s="318"/>
      <c r="B204" s="322"/>
      <c r="C204" s="320">
        <f>SUM(C177:C203)</f>
        <v>1925</v>
      </c>
      <c r="D204" s="321"/>
      <c r="E204" s="322"/>
      <c r="F204" s="321">
        <f>SUM(F177:F203)</f>
        <v>55975.85</v>
      </c>
      <c r="G204" s="322"/>
      <c r="H204" s="320">
        <f>SUM(H177:H203)</f>
        <v>1925</v>
      </c>
      <c r="I204" s="321"/>
      <c r="J204" s="320"/>
      <c r="K204" s="321">
        <f>SUM(K177:K203)</f>
        <v>56062.910000000011</v>
      </c>
      <c r="L204" s="322"/>
      <c r="M204" s="321"/>
      <c r="N204" s="321">
        <f>K204-F204</f>
        <v>87.060000000012224</v>
      </c>
      <c r="O204" s="323">
        <f>(N204+M204)/F204</f>
        <v>1.5553135861270928E-3</v>
      </c>
      <c r="P204" s="142" t="s">
        <v>134</v>
      </c>
    </row>
    <row r="205" spans="1:16" ht="18" customHeight="1" x14ac:dyDescent="0.25">
      <c r="B205" s="314"/>
      <c r="C205" s="315"/>
      <c r="D205" s="316"/>
      <c r="E205" s="25"/>
      <c r="F205" s="316"/>
      <c r="G205" s="314"/>
      <c r="H205" s="315"/>
      <c r="I205" s="316"/>
      <c r="K205" s="316"/>
      <c r="L205" s="314"/>
      <c r="M205" s="316"/>
      <c r="N205" s="434"/>
      <c r="O205" s="435"/>
    </row>
    <row r="206" spans="1:16" ht="18" customHeight="1" x14ac:dyDescent="0.25">
      <c r="A206" s="299" t="s">
        <v>46</v>
      </c>
      <c r="B206" s="328">
        <v>42185</v>
      </c>
      <c r="C206" s="325">
        <v>20</v>
      </c>
      <c r="D206" s="326">
        <v>28.2</v>
      </c>
      <c r="E206" s="324"/>
      <c r="F206" s="326">
        <f>C206*D206</f>
        <v>564</v>
      </c>
      <c r="G206" s="328">
        <v>42187</v>
      </c>
      <c r="H206" s="325">
        <v>20</v>
      </c>
      <c r="I206" s="326">
        <v>28.75</v>
      </c>
      <c r="J206" s="325">
        <v>0.01</v>
      </c>
      <c r="K206" s="326">
        <f>H206*I206-J206</f>
        <v>574.99</v>
      </c>
      <c r="L206" s="324"/>
      <c r="M206" s="326"/>
      <c r="N206" s="321"/>
      <c r="O206" s="323"/>
      <c r="P206" s="238"/>
    </row>
    <row r="207" spans="1:16" ht="18" customHeight="1" x14ac:dyDescent="0.25">
      <c r="A207" s="318"/>
      <c r="B207" s="322"/>
      <c r="C207" s="320">
        <f>SUM(C206)</f>
        <v>20</v>
      </c>
      <c r="D207" s="321"/>
      <c r="E207" s="322"/>
      <c r="F207" s="321">
        <f>SUM(F206)</f>
        <v>564</v>
      </c>
      <c r="G207" s="322"/>
      <c r="H207" s="320">
        <f>SUM(H206)</f>
        <v>20</v>
      </c>
      <c r="I207" s="321"/>
      <c r="J207" s="320"/>
      <c r="K207" s="321">
        <f>SUM(K206)</f>
        <v>574.99</v>
      </c>
      <c r="L207" s="322"/>
      <c r="M207" s="321"/>
      <c r="N207" s="321">
        <f>K207-F207</f>
        <v>10.990000000000009</v>
      </c>
      <c r="O207" s="323">
        <f>(N207+M207)/F207</f>
        <v>1.9485815602836895E-2</v>
      </c>
    </row>
    <row r="208" spans="1:16" ht="18" customHeight="1" x14ac:dyDescent="0.25">
      <c r="B208" s="314"/>
      <c r="C208" s="315"/>
      <c r="D208" s="316"/>
      <c r="E208" s="316"/>
      <c r="F208" s="316"/>
      <c r="G208" s="314"/>
      <c r="H208" s="315"/>
      <c r="I208" s="316"/>
      <c r="J208" s="316"/>
      <c r="K208" s="316"/>
      <c r="L208" s="314"/>
      <c r="M208" s="316"/>
      <c r="N208" s="316"/>
      <c r="O208" s="317"/>
    </row>
    <row r="209" spans="1:15" ht="18" customHeight="1" x14ac:dyDescent="0.25">
      <c r="A209" s="299" t="s">
        <v>28</v>
      </c>
      <c r="B209" s="300">
        <v>42164</v>
      </c>
      <c r="C209" s="301">
        <v>20</v>
      </c>
      <c r="D209" s="302">
        <v>29.9</v>
      </c>
      <c r="E209" s="302"/>
      <c r="F209" s="302">
        <f>C209*D209</f>
        <v>598</v>
      </c>
      <c r="G209" s="300">
        <v>42187</v>
      </c>
      <c r="H209" s="301">
        <v>40</v>
      </c>
      <c r="I209" s="302">
        <v>30.4</v>
      </c>
      <c r="J209" s="302">
        <v>0.02</v>
      </c>
      <c r="K209" s="302">
        <f>H209*I209-J209</f>
        <v>1215.98</v>
      </c>
      <c r="L209" s="303"/>
      <c r="M209" s="302"/>
      <c r="N209" s="302"/>
      <c r="O209" s="304"/>
    </row>
    <row r="210" spans="1:15" ht="18" customHeight="1" x14ac:dyDescent="0.25">
      <c r="A210" s="299"/>
      <c r="B210" s="300">
        <v>42166</v>
      </c>
      <c r="C210" s="301">
        <v>20</v>
      </c>
      <c r="D210" s="302">
        <v>29.3</v>
      </c>
      <c r="E210" s="302"/>
      <c r="F210" s="302">
        <f>C210*D210</f>
        <v>586</v>
      </c>
      <c r="G210" s="303"/>
      <c r="H210" s="301"/>
      <c r="I210" s="302"/>
      <c r="J210" s="301"/>
      <c r="K210" s="302"/>
      <c r="L210" s="303"/>
      <c r="M210" s="302"/>
      <c r="N210" s="302"/>
      <c r="O210" s="304"/>
    </row>
    <row r="211" spans="1:15" ht="18" customHeight="1" x14ac:dyDescent="0.25">
      <c r="A211" s="299"/>
      <c r="B211" s="305"/>
      <c r="C211" s="306">
        <f>SUM(C209:C210)</f>
        <v>40</v>
      </c>
      <c r="D211" s="307"/>
      <c r="E211" s="307"/>
      <c r="F211" s="307">
        <f>SUM(F209:F210)</f>
        <v>1184</v>
      </c>
      <c r="G211" s="308"/>
      <c r="H211" s="306">
        <f>SUM(H209:H210)</f>
        <v>40</v>
      </c>
      <c r="I211" s="307"/>
      <c r="J211" s="307"/>
      <c r="K211" s="307">
        <f>SUM(K209:K210)</f>
        <v>1215.98</v>
      </c>
      <c r="L211" s="308"/>
      <c r="M211" s="307"/>
      <c r="N211" s="307">
        <f>K211-F211</f>
        <v>31.980000000000018</v>
      </c>
      <c r="O211" s="309">
        <f>(N211+M211)/F211</f>
        <v>2.7010135135135151E-2</v>
      </c>
    </row>
    <row r="212" spans="1:15" ht="18" customHeight="1" x14ac:dyDescent="0.25">
      <c r="B212" s="327"/>
      <c r="C212" s="315"/>
      <c r="D212" s="316"/>
      <c r="E212" s="315"/>
      <c r="F212" s="316"/>
      <c r="G212" s="314"/>
      <c r="H212" s="315"/>
      <c r="I212" s="316"/>
      <c r="J212" s="315"/>
      <c r="K212" s="316"/>
      <c r="L212" s="314"/>
      <c r="M212" s="316"/>
      <c r="N212" s="314"/>
      <c r="O212" s="314"/>
    </row>
    <row r="213" spans="1:15" ht="18" customHeight="1" x14ac:dyDescent="0.25">
      <c r="A213" s="299" t="s">
        <v>44</v>
      </c>
      <c r="B213" s="300">
        <v>42185</v>
      </c>
      <c r="C213" s="301">
        <v>10</v>
      </c>
      <c r="D213" s="302">
        <v>71.2</v>
      </c>
      <c r="E213" s="301"/>
      <c r="F213" s="302">
        <f>C213*D213</f>
        <v>712</v>
      </c>
      <c r="G213" s="300">
        <v>42228</v>
      </c>
      <c r="H213" s="301">
        <v>10</v>
      </c>
      <c r="I213" s="302">
        <v>75.5</v>
      </c>
      <c r="J213" s="301">
        <v>0.01</v>
      </c>
      <c r="K213" s="302">
        <f>H213*I213-J213</f>
        <v>754.99</v>
      </c>
      <c r="L213" s="300">
        <v>42277</v>
      </c>
      <c r="M213" s="302">
        <v>2.83</v>
      </c>
      <c r="N213" s="303"/>
      <c r="O213" s="303"/>
    </row>
    <row r="214" spans="1:15" ht="18" customHeight="1" x14ac:dyDescent="0.25">
      <c r="A214" s="299"/>
      <c r="B214" s="300">
        <v>42220</v>
      </c>
      <c r="C214" s="301">
        <v>5</v>
      </c>
      <c r="D214" s="302">
        <v>70.650000000000006</v>
      </c>
      <c r="E214" s="302"/>
      <c r="F214" s="302">
        <f>C214*D214</f>
        <v>353.25</v>
      </c>
      <c r="G214" s="300">
        <v>42283</v>
      </c>
      <c r="H214" s="301">
        <v>5</v>
      </c>
      <c r="I214" s="302">
        <v>71.25</v>
      </c>
      <c r="J214" s="301">
        <v>0.01</v>
      </c>
      <c r="K214" s="302">
        <f>H214*I214-J214</f>
        <v>356.24</v>
      </c>
      <c r="L214" s="303"/>
      <c r="M214" s="301"/>
      <c r="N214" s="303"/>
      <c r="O214" s="303"/>
    </row>
    <row r="215" spans="1:15" ht="18" customHeight="1" x14ac:dyDescent="0.25">
      <c r="A215" s="299"/>
      <c r="B215" s="308"/>
      <c r="C215" s="306">
        <f>SUM(C213:C214)</f>
        <v>15</v>
      </c>
      <c r="D215" s="307"/>
      <c r="E215" s="307"/>
      <c r="F215" s="307">
        <f>SUM(F213:F214)</f>
        <v>1065.25</v>
      </c>
      <c r="G215" s="308"/>
      <c r="H215" s="306">
        <f>SUM(H213:H214)</f>
        <v>15</v>
      </c>
      <c r="I215" s="307"/>
      <c r="J215" s="307"/>
      <c r="K215" s="307">
        <f>SUM(K213:K214)</f>
        <v>1111.23</v>
      </c>
      <c r="L215" s="332"/>
      <c r="M215" s="307">
        <f>SUM(M213:M214)</f>
        <v>2.83</v>
      </c>
      <c r="N215" s="307">
        <f>K215-F215</f>
        <v>45.980000000000018</v>
      </c>
      <c r="O215" s="333">
        <f>(N215+M215)/F215</f>
        <v>4.5820229992959413E-2</v>
      </c>
    </row>
    <row r="216" spans="1:15" ht="18" customHeight="1" x14ac:dyDescent="0.25">
      <c r="B216" s="314"/>
      <c r="C216" s="315"/>
      <c r="D216" s="316"/>
      <c r="E216" s="25"/>
      <c r="F216" s="316"/>
      <c r="G216" s="314"/>
      <c r="H216" s="315"/>
      <c r="I216" s="316"/>
      <c r="K216" s="316"/>
      <c r="L216" s="314"/>
      <c r="M216" s="316"/>
      <c r="N216" s="316"/>
      <c r="O216" s="317"/>
    </row>
    <row r="217" spans="1:15" ht="18" customHeight="1" x14ac:dyDescent="0.25">
      <c r="A217" s="299" t="s">
        <v>0</v>
      </c>
      <c r="B217" s="300">
        <v>42144</v>
      </c>
      <c r="C217" s="301">
        <v>50</v>
      </c>
      <c r="D217" s="302">
        <v>130.16999999999999</v>
      </c>
      <c r="E217" s="303"/>
      <c r="F217" s="302">
        <f>C217*D217</f>
        <v>6508.4999999999991</v>
      </c>
      <c r="G217" s="300">
        <v>42186</v>
      </c>
      <c r="H217" s="301">
        <v>50</v>
      </c>
      <c r="I217" s="302">
        <v>133.5</v>
      </c>
      <c r="J217" s="301">
        <v>0.12</v>
      </c>
      <c r="K217" s="302">
        <f>H217*I217-J217</f>
        <v>6674.88</v>
      </c>
      <c r="L217" s="300">
        <v>42200</v>
      </c>
      <c r="M217" s="302">
        <v>7.5</v>
      </c>
      <c r="N217" s="301"/>
      <c r="O217" s="301"/>
    </row>
    <row r="218" spans="1:15" ht="18" customHeight="1" x14ac:dyDescent="0.25">
      <c r="A218" s="299"/>
      <c r="B218" s="305"/>
      <c r="C218" s="306">
        <f>SUM(C217)</f>
        <v>50</v>
      </c>
      <c r="D218" s="307"/>
      <c r="E218" s="308"/>
      <c r="F218" s="307">
        <f>SUM(F217)</f>
        <v>6508.4999999999991</v>
      </c>
      <c r="G218" s="308"/>
      <c r="H218" s="306">
        <f>SUM(H217)</f>
        <v>50</v>
      </c>
      <c r="I218" s="307"/>
      <c r="J218" s="306"/>
      <c r="K218" s="307">
        <f>SUM(K217)</f>
        <v>6674.88</v>
      </c>
      <c r="L218" s="308"/>
      <c r="M218" s="307">
        <f>SUM(M217)</f>
        <v>7.5</v>
      </c>
      <c r="N218" s="307">
        <f>K218-F218</f>
        <v>166.38000000000102</v>
      </c>
      <c r="O218" s="309">
        <f>(N218+M218)/F218</f>
        <v>2.6715833141276953E-2</v>
      </c>
    </row>
    <row r="219" spans="1:15" ht="18" customHeight="1" x14ac:dyDescent="0.25">
      <c r="B219" s="314"/>
      <c r="C219" s="315"/>
      <c r="D219" s="316"/>
      <c r="E219" s="316"/>
      <c r="F219" s="316"/>
      <c r="G219" s="314"/>
      <c r="H219" s="315"/>
      <c r="I219" s="316"/>
      <c r="J219" s="316"/>
      <c r="K219" s="316"/>
      <c r="L219" s="314"/>
      <c r="M219" s="316"/>
      <c r="N219" s="316"/>
      <c r="O219" s="317"/>
    </row>
    <row r="220" spans="1:15" ht="18" customHeight="1" x14ac:dyDescent="0.25">
      <c r="A220" s="299" t="s">
        <v>49</v>
      </c>
      <c r="B220" s="300">
        <v>42186</v>
      </c>
      <c r="C220" s="301">
        <v>100</v>
      </c>
      <c r="D220" s="302">
        <v>27.5</v>
      </c>
      <c r="E220" s="302"/>
      <c r="F220" s="302">
        <f>C220*D220</f>
        <v>2750</v>
      </c>
      <c r="G220" s="300">
        <v>42219</v>
      </c>
      <c r="H220" s="301">
        <v>100</v>
      </c>
      <c r="I220" s="302">
        <v>29.5</v>
      </c>
      <c r="J220" s="301">
        <v>0.05</v>
      </c>
      <c r="K220" s="302">
        <f>H220*I220-J220</f>
        <v>2949.95</v>
      </c>
      <c r="L220" s="300">
        <v>42216</v>
      </c>
      <c r="M220" s="302">
        <v>11</v>
      </c>
      <c r="N220" s="302"/>
      <c r="O220" s="304"/>
    </row>
    <row r="221" spans="1:15" ht="18" customHeight="1" x14ac:dyDescent="0.25">
      <c r="A221" s="299"/>
      <c r="B221" s="305"/>
      <c r="C221" s="306">
        <f>SUM(C220)</f>
        <v>100</v>
      </c>
      <c r="D221" s="307"/>
      <c r="E221" s="308"/>
      <c r="F221" s="307">
        <f>SUM(F220)</f>
        <v>2750</v>
      </c>
      <c r="G221" s="308"/>
      <c r="H221" s="306">
        <f>SUM(H220)</f>
        <v>100</v>
      </c>
      <c r="I221" s="307"/>
      <c r="J221" s="307"/>
      <c r="K221" s="307">
        <f>SUM(K220)</f>
        <v>2949.95</v>
      </c>
      <c r="L221" s="308"/>
      <c r="M221" s="307">
        <v>11</v>
      </c>
      <c r="N221" s="307">
        <f>K221-F221</f>
        <v>199.94999999999982</v>
      </c>
      <c r="O221" s="309">
        <f>(N221+M221)/F221</f>
        <v>7.6709090909090838E-2</v>
      </c>
    </row>
    <row r="222" spans="1:15" ht="18" customHeight="1" x14ac:dyDescent="0.25">
      <c r="B222" s="314"/>
      <c r="C222" s="315"/>
      <c r="D222" s="316"/>
      <c r="E222" s="25"/>
      <c r="F222" s="316"/>
      <c r="G222" s="314"/>
      <c r="H222" s="315"/>
      <c r="I222" s="316"/>
      <c r="K222" s="316"/>
      <c r="L222" s="314"/>
      <c r="M222" s="316"/>
      <c r="N222" s="316"/>
      <c r="O222" s="315"/>
    </row>
    <row r="223" spans="1:15" ht="18" customHeight="1" x14ac:dyDescent="0.25">
      <c r="A223" s="299" t="s">
        <v>13</v>
      </c>
      <c r="B223" s="300">
        <v>42151</v>
      </c>
      <c r="C223" s="301">
        <v>5</v>
      </c>
      <c r="D223" s="302">
        <v>54.2</v>
      </c>
      <c r="E223" s="303"/>
      <c r="F223" s="302">
        <f t="shared" ref="F223:F229" si="10">C223*D223</f>
        <v>271</v>
      </c>
      <c r="G223" s="300">
        <v>42181</v>
      </c>
      <c r="H223" s="301">
        <v>25</v>
      </c>
      <c r="I223" s="302">
        <v>55.4</v>
      </c>
      <c r="J223" s="301">
        <v>0.03</v>
      </c>
      <c r="K223" s="302">
        <f>H223*I223-J223</f>
        <v>1384.97</v>
      </c>
      <c r="L223" s="303"/>
      <c r="M223" s="302"/>
      <c r="N223" s="302"/>
      <c r="O223" s="304"/>
    </row>
    <row r="224" spans="1:15" ht="18" customHeight="1" x14ac:dyDescent="0.25">
      <c r="A224" s="299"/>
      <c r="B224" s="300">
        <v>42152</v>
      </c>
      <c r="C224" s="301">
        <v>20</v>
      </c>
      <c r="D224" s="302">
        <v>53.35</v>
      </c>
      <c r="E224" s="303"/>
      <c r="F224" s="302">
        <f t="shared" si="10"/>
        <v>1067</v>
      </c>
      <c r="G224" s="300">
        <v>42200</v>
      </c>
      <c r="H224" s="301">
        <v>225</v>
      </c>
      <c r="I224" s="302">
        <v>55.56</v>
      </c>
      <c r="J224" s="301">
        <v>0.23</v>
      </c>
      <c r="K224" s="302">
        <f>H224*I224-J224</f>
        <v>12500.77</v>
      </c>
      <c r="L224" s="303"/>
      <c r="M224" s="302"/>
      <c r="N224" s="302"/>
      <c r="O224" s="304"/>
    </row>
    <row r="225" spans="1:15" ht="18" customHeight="1" x14ac:dyDescent="0.25">
      <c r="A225" s="299"/>
      <c r="B225" s="300">
        <v>42153</v>
      </c>
      <c r="C225" s="301">
        <v>25</v>
      </c>
      <c r="D225" s="302">
        <v>52.35</v>
      </c>
      <c r="E225" s="303"/>
      <c r="F225" s="302">
        <f t="shared" si="10"/>
        <v>1308.75</v>
      </c>
      <c r="G225" s="303"/>
      <c r="H225" s="301"/>
      <c r="I225" s="302"/>
      <c r="J225" s="301"/>
      <c r="K225" s="302"/>
      <c r="L225" s="303"/>
      <c r="M225" s="302"/>
      <c r="N225" s="302"/>
      <c r="O225" s="304"/>
    </row>
    <row r="226" spans="1:15" ht="18" customHeight="1" x14ac:dyDescent="0.25">
      <c r="A226" s="299"/>
      <c r="B226" s="300">
        <v>42153</v>
      </c>
      <c r="C226" s="301">
        <v>25</v>
      </c>
      <c r="D226" s="302">
        <v>51.75</v>
      </c>
      <c r="E226" s="303"/>
      <c r="F226" s="302">
        <f t="shared" si="10"/>
        <v>1293.75</v>
      </c>
      <c r="G226" s="303"/>
      <c r="H226" s="301"/>
      <c r="I226" s="302"/>
      <c r="J226" s="301"/>
      <c r="K226" s="302"/>
      <c r="L226" s="303"/>
      <c r="M226" s="302"/>
      <c r="N226" s="302"/>
      <c r="O226" s="304"/>
    </row>
    <row r="227" spans="1:15" ht="18" customHeight="1" x14ac:dyDescent="0.25">
      <c r="A227" s="299"/>
      <c r="B227" s="300">
        <v>42166</v>
      </c>
      <c r="C227" s="301">
        <v>25</v>
      </c>
      <c r="D227" s="302">
        <v>52.1</v>
      </c>
      <c r="E227" s="303"/>
      <c r="F227" s="302">
        <f t="shared" si="10"/>
        <v>1302.5</v>
      </c>
      <c r="G227" s="303"/>
      <c r="H227" s="301"/>
      <c r="I227" s="302"/>
      <c r="J227" s="301"/>
      <c r="K227" s="302"/>
      <c r="L227" s="303"/>
      <c r="M227" s="302"/>
      <c r="N227" s="302"/>
      <c r="O227" s="304"/>
    </row>
    <row r="228" spans="1:15" ht="18" customHeight="1" x14ac:dyDescent="0.25">
      <c r="A228" s="299"/>
      <c r="B228" s="300">
        <v>42166</v>
      </c>
      <c r="C228" s="301">
        <v>50</v>
      </c>
      <c r="D228" s="302">
        <v>51.5</v>
      </c>
      <c r="E228" s="303"/>
      <c r="F228" s="302">
        <f t="shared" si="10"/>
        <v>2575</v>
      </c>
      <c r="G228" s="303"/>
      <c r="H228" s="301"/>
      <c r="I228" s="302"/>
      <c r="J228" s="301"/>
      <c r="K228" s="302"/>
      <c r="L228" s="303"/>
      <c r="M228" s="302"/>
      <c r="N228" s="302"/>
      <c r="O228" s="304"/>
    </row>
    <row r="229" spans="1:15" ht="18" customHeight="1" x14ac:dyDescent="0.25">
      <c r="A229" s="299"/>
      <c r="B229" s="300">
        <v>42166</v>
      </c>
      <c r="C229" s="301">
        <v>100</v>
      </c>
      <c r="D229" s="302">
        <v>51.35</v>
      </c>
      <c r="E229" s="303"/>
      <c r="F229" s="302">
        <f t="shared" si="10"/>
        <v>5135</v>
      </c>
      <c r="G229" s="303"/>
      <c r="H229" s="301"/>
      <c r="I229" s="302"/>
      <c r="J229" s="301"/>
      <c r="K229" s="302"/>
      <c r="L229" s="303"/>
      <c r="M229" s="302"/>
      <c r="N229" s="302"/>
      <c r="O229" s="304"/>
    </row>
    <row r="230" spans="1:15" ht="18" customHeight="1" x14ac:dyDescent="0.25">
      <c r="A230" s="299"/>
      <c r="B230" s="305"/>
      <c r="C230" s="306">
        <f>SUM(C223:C229)</f>
        <v>250</v>
      </c>
      <c r="D230" s="307"/>
      <c r="E230" s="308"/>
      <c r="F230" s="307">
        <f>SUM(F223:F229)</f>
        <v>12953</v>
      </c>
      <c r="G230" s="308"/>
      <c r="H230" s="306">
        <f>SUM(H223:H229)</f>
        <v>250</v>
      </c>
      <c r="I230" s="307"/>
      <c r="J230" s="306"/>
      <c r="K230" s="307">
        <f>SUM(K223:K229)</f>
        <v>13885.74</v>
      </c>
      <c r="L230" s="308"/>
      <c r="M230" s="307"/>
      <c r="N230" s="307">
        <f>K230-F230</f>
        <v>932.73999999999978</v>
      </c>
      <c r="O230" s="309">
        <f>(N230+M230)/F230</f>
        <v>7.2009573071875221E-2</v>
      </c>
    </row>
    <row r="231" spans="1:15" ht="18" customHeight="1" x14ac:dyDescent="0.25">
      <c r="B231" s="314"/>
      <c r="C231" s="315"/>
      <c r="D231" s="316"/>
      <c r="E231" s="316"/>
      <c r="F231" s="316"/>
      <c r="G231" s="314"/>
      <c r="H231" s="315"/>
      <c r="I231" s="316"/>
      <c r="J231" s="316"/>
      <c r="K231" s="316"/>
      <c r="L231" s="314"/>
      <c r="M231" s="316"/>
      <c r="N231" s="316"/>
      <c r="O231" s="317"/>
    </row>
    <row r="232" spans="1:15" ht="18" customHeight="1" x14ac:dyDescent="0.25">
      <c r="A232" s="299" t="s">
        <v>20</v>
      </c>
      <c r="B232" s="300">
        <v>42153</v>
      </c>
      <c r="C232" s="301">
        <v>50</v>
      </c>
      <c r="D232" s="302">
        <v>20.99</v>
      </c>
      <c r="E232" s="303"/>
      <c r="F232" s="302">
        <f>C232*D232</f>
        <v>1049.5</v>
      </c>
      <c r="G232" s="300">
        <v>42186</v>
      </c>
      <c r="H232" s="301">
        <v>297</v>
      </c>
      <c r="I232" s="302">
        <v>19.399999999999999</v>
      </c>
      <c r="J232" s="302">
        <v>0.11</v>
      </c>
      <c r="K232" s="302">
        <f>H232*I232-J232</f>
        <v>5761.69</v>
      </c>
      <c r="L232" s="303"/>
      <c r="M232" s="302"/>
      <c r="N232" s="302"/>
      <c r="O232" s="304"/>
    </row>
    <row r="233" spans="1:15" ht="18" customHeight="1" x14ac:dyDescent="0.25">
      <c r="A233" s="299"/>
      <c r="B233" s="300">
        <v>42185</v>
      </c>
      <c r="C233" s="301">
        <v>100</v>
      </c>
      <c r="D233" s="302">
        <v>20.6</v>
      </c>
      <c r="E233" s="302"/>
      <c r="F233" s="302">
        <f>C233*D233</f>
        <v>2060</v>
      </c>
      <c r="G233" s="300">
        <v>42186</v>
      </c>
      <c r="H233" s="301">
        <v>300</v>
      </c>
      <c r="I233" s="302">
        <v>20.28</v>
      </c>
      <c r="J233" s="302">
        <v>0.11</v>
      </c>
      <c r="K233" s="302">
        <f>H233*I233-J233</f>
        <v>6083.89</v>
      </c>
      <c r="L233" s="303"/>
      <c r="M233" s="302"/>
      <c r="N233" s="302"/>
      <c r="O233" s="304"/>
    </row>
    <row r="234" spans="1:15" ht="18" customHeight="1" x14ac:dyDescent="0.25">
      <c r="A234" s="299"/>
      <c r="B234" s="300">
        <v>42186</v>
      </c>
      <c r="C234" s="301">
        <v>150</v>
      </c>
      <c r="D234" s="302">
        <v>19.95</v>
      </c>
      <c r="E234" s="302"/>
      <c r="F234" s="302">
        <f>C234*D234</f>
        <v>2992.5</v>
      </c>
      <c r="G234" s="300">
        <v>42186</v>
      </c>
      <c r="H234" s="301">
        <v>300</v>
      </c>
      <c r="I234" s="302">
        <v>19.75</v>
      </c>
      <c r="J234" s="302">
        <v>0.11</v>
      </c>
      <c r="K234" s="302">
        <f>H234*I234-J234</f>
        <v>5924.89</v>
      </c>
      <c r="L234" s="303"/>
      <c r="M234" s="302"/>
      <c r="N234" s="302"/>
      <c r="O234" s="304"/>
    </row>
    <row r="235" spans="1:15" ht="18" customHeight="1" x14ac:dyDescent="0.25">
      <c r="A235" s="299"/>
      <c r="B235" s="300">
        <v>42186</v>
      </c>
      <c r="C235" s="301">
        <v>300</v>
      </c>
      <c r="D235" s="302">
        <v>19.7</v>
      </c>
      <c r="E235" s="303"/>
      <c r="F235" s="302">
        <f>C235*D235</f>
        <v>5910</v>
      </c>
      <c r="G235" s="303"/>
      <c r="H235" s="301"/>
      <c r="I235" s="302"/>
      <c r="J235" s="302"/>
      <c r="K235" s="302"/>
      <c r="L235" s="303"/>
      <c r="M235" s="302"/>
      <c r="N235" s="302"/>
      <c r="O235" s="304"/>
    </row>
    <row r="236" spans="1:15" ht="18" customHeight="1" x14ac:dyDescent="0.25">
      <c r="A236" s="299"/>
      <c r="B236" s="300">
        <v>42186</v>
      </c>
      <c r="C236" s="301">
        <v>297</v>
      </c>
      <c r="D236" s="302">
        <v>19.13</v>
      </c>
      <c r="E236" s="302"/>
      <c r="F236" s="302">
        <f>C236*D236</f>
        <v>5681.61</v>
      </c>
      <c r="G236" s="303"/>
      <c r="H236" s="301"/>
      <c r="I236" s="302"/>
      <c r="J236" s="302"/>
      <c r="K236" s="302"/>
      <c r="L236" s="303"/>
      <c r="M236" s="302"/>
      <c r="N236" s="302"/>
      <c r="O236" s="304"/>
    </row>
    <row r="237" spans="1:15" ht="18" customHeight="1" x14ac:dyDescent="0.25">
      <c r="A237" s="299"/>
      <c r="B237" s="305"/>
      <c r="C237" s="306">
        <f>SUM(C232:C236)</f>
        <v>897</v>
      </c>
      <c r="D237" s="307"/>
      <c r="E237" s="307"/>
      <c r="F237" s="307">
        <f>SUM(F232:F236)</f>
        <v>17693.61</v>
      </c>
      <c r="G237" s="308"/>
      <c r="H237" s="306">
        <f>SUM(H232:H236)</f>
        <v>897</v>
      </c>
      <c r="I237" s="307"/>
      <c r="J237" s="307"/>
      <c r="K237" s="307">
        <f>SUM(K232:K236)</f>
        <v>17770.47</v>
      </c>
      <c r="L237" s="308"/>
      <c r="M237" s="307"/>
      <c r="N237" s="307">
        <f>K237-F237</f>
        <v>76.860000000000582</v>
      </c>
      <c r="O237" s="309">
        <f>(N237+M237)/F237</f>
        <v>4.3439411177255841E-3</v>
      </c>
    </row>
    <row r="238" spans="1:15" ht="18" customHeight="1" x14ac:dyDescent="0.25">
      <c r="B238" s="314"/>
      <c r="C238" s="315"/>
      <c r="D238" s="316"/>
      <c r="E238" s="25"/>
      <c r="F238" s="316"/>
      <c r="G238" s="314"/>
      <c r="H238" s="315"/>
      <c r="I238" s="316"/>
      <c r="K238" s="316"/>
      <c r="L238" s="314"/>
      <c r="M238" s="316"/>
      <c r="N238" s="316"/>
      <c r="O238" s="317"/>
    </row>
    <row r="239" spans="1:15" ht="18" customHeight="1" x14ac:dyDescent="0.25">
      <c r="A239" s="299" t="s">
        <v>31</v>
      </c>
      <c r="B239" s="300">
        <v>42165</v>
      </c>
      <c r="C239" s="301">
        <v>1</v>
      </c>
      <c r="D239" s="302">
        <v>73.03</v>
      </c>
      <c r="E239" s="303"/>
      <c r="F239" s="302">
        <f>C239*D239</f>
        <v>73.03</v>
      </c>
      <c r="G239" s="300">
        <v>42195</v>
      </c>
      <c r="H239" s="301">
        <v>1</v>
      </c>
      <c r="I239" s="302">
        <v>73.5</v>
      </c>
      <c r="J239" s="301">
        <v>0.01</v>
      </c>
      <c r="K239" s="302">
        <f>H239*I239-J239</f>
        <v>73.489999999999995</v>
      </c>
      <c r="L239" s="303"/>
      <c r="M239" s="302"/>
      <c r="N239" s="302"/>
      <c r="O239" s="304"/>
    </row>
    <row r="240" spans="1:15" ht="18" customHeight="1" x14ac:dyDescent="0.25">
      <c r="A240" s="299"/>
      <c r="B240" s="305"/>
      <c r="C240" s="306">
        <f>SUM(C239)</f>
        <v>1</v>
      </c>
      <c r="D240" s="307"/>
      <c r="E240" s="308"/>
      <c r="F240" s="307">
        <f>SUM(F239)</f>
        <v>73.03</v>
      </c>
      <c r="G240" s="308"/>
      <c r="H240" s="306">
        <f>SUM(H239)</f>
        <v>1</v>
      </c>
      <c r="I240" s="307"/>
      <c r="J240" s="306"/>
      <c r="K240" s="307">
        <f>SUM(K239)</f>
        <v>73.489999999999995</v>
      </c>
      <c r="L240" s="308"/>
      <c r="M240" s="307"/>
      <c r="N240" s="307">
        <f>K240-F240</f>
        <v>0.45999999999999375</v>
      </c>
      <c r="O240" s="309">
        <f>(N240+M240)/F240</f>
        <v>6.2987813227439919E-3</v>
      </c>
    </row>
    <row r="241" spans="1:21" ht="18" customHeight="1" x14ac:dyDescent="0.25">
      <c r="A241" s="145"/>
      <c r="B241" s="146"/>
      <c r="C241" s="147"/>
      <c r="D241" s="148"/>
      <c r="E241" s="25"/>
      <c r="F241" s="148"/>
      <c r="G241" s="149"/>
      <c r="H241" s="147"/>
      <c r="I241" s="148"/>
      <c r="K241" s="148"/>
      <c r="L241" s="149"/>
      <c r="M241" s="148"/>
      <c r="N241" s="148"/>
      <c r="O241" s="150"/>
    </row>
    <row r="242" spans="1:21" ht="18" customHeight="1" x14ac:dyDescent="0.25">
      <c r="M242" s="26" t="s">
        <v>38</v>
      </c>
      <c r="N242" s="143">
        <f>0.5*(SUM(M2:M241))</f>
        <v>810.01</v>
      </c>
      <c r="Q242" s="450" t="s">
        <v>228</v>
      </c>
      <c r="R242" s="449"/>
      <c r="S242" s="426" t="s">
        <v>221</v>
      </c>
      <c r="T242" s="424"/>
    </row>
    <row r="243" spans="1:21" ht="18" customHeight="1" x14ac:dyDescent="0.25">
      <c r="M243" s="29" t="s">
        <v>131</v>
      </c>
      <c r="N243" s="144">
        <f>SUM(N1:N241)</f>
        <v>-3929.4599999999336</v>
      </c>
      <c r="Q243" s="361">
        <v>42449</v>
      </c>
      <c r="R243" s="449">
        <v>0.02</v>
      </c>
      <c r="S243" s="424">
        <v>2015</v>
      </c>
      <c r="T243" s="424">
        <v>1003.28</v>
      </c>
    </row>
    <row r="244" spans="1:21" ht="18" customHeight="1" x14ac:dyDescent="0.25">
      <c r="M244" s="26" t="s">
        <v>153</v>
      </c>
      <c r="N244" s="532">
        <f>T267</f>
        <v>1009.9100000000002</v>
      </c>
      <c r="Q244" s="361">
        <v>42451</v>
      </c>
      <c r="R244" s="449">
        <v>0.01</v>
      </c>
      <c r="S244" s="471">
        <v>42278</v>
      </c>
      <c r="T244" s="424">
        <v>0.19</v>
      </c>
    </row>
    <row r="245" spans="1:21" ht="18" customHeight="1" x14ac:dyDescent="0.25">
      <c r="M245" s="26" t="s">
        <v>130</v>
      </c>
      <c r="N245" s="144">
        <f>SUM(ACTIVE!L:L)</f>
        <v>21837.408000001484</v>
      </c>
      <c r="Q245" s="489"/>
      <c r="R245" s="449"/>
      <c r="S245" s="471">
        <v>42309</v>
      </c>
      <c r="T245" s="424">
        <v>0.26</v>
      </c>
    </row>
    <row r="246" spans="1:21" ht="18" customHeight="1" x14ac:dyDescent="0.25">
      <c r="Q246" s="360"/>
      <c r="R246" s="449"/>
      <c r="S246" s="471">
        <v>42339</v>
      </c>
      <c r="T246" s="424">
        <v>0.23</v>
      </c>
    </row>
    <row r="247" spans="1:21" ht="18" customHeight="1" x14ac:dyDescent="0.25">
      <c r="M247" s="26" t="s">
        <v>144</v>
      </c>
      <c r="N247" s="144">
        <f>SUM(N242:N245)</f>
        <v>19727.868000001552</v>
      </c>
      <c r="Q247" s="360"/>
      <c r="R247" s="449"/>
      <c r="S247" s="471">
        <v>42370</v>
      </c>
      <c r="T247" s="424">
        <v>0.08</v>
      </c>
    </row>
    <row r="248" spans="1:21" ht="18" customHeight="1" x14ac:dyDescent="0.25">
      <c r="M248" s="26" t="s">
        <v>145</v>
      </c>
      <c r="N248" s="144">
        <f>Balance!X2</f>
        <v>19727.840000000026</v>
      </c>
      <c r="Q248" s="360"/>
      <c r="R248" s="449"/>
      <c r="S248" s="471">
        <v>42401</v>
      </c>
      <c r="T248" s="424">
        <v>0.57999999999999996</v>
      </c>
    </row>
    <row r="249" spans="1:21" ht="18" customHeight="1" x14ac:dyDescent="0.25">
      <c r="M249" s="26" t="s">
        <v>194</v>
      </c>
      <c r="N249" s="533">
        <f>R267</f>
        <v>0.03</v>
      </c>
      <c r="O249" s="349"/>
      <c r="Q249" s="360"/>
      <c r="R249" s="449"/>
      <c r="S249" s="471">
        <v>42430</v>
      </c>
      <c r="T249" s="424">
        <v>0.68</v>
      </c>
    </row>
    <row r="250" spans="1:21" ht="18" customHeight="1" x14ac:dyDescent="0.25">
      <c r="Q250" s="360"/>
      <c r="R250" s="449"/>
      <c r="S250" s="471">
        <v>42461</v>
      </c>
      <c r="T250" s="424">
        <v>0.37</v>
      </c>
    </row>
    <row r="251" spans="1:21" ht="18" customHeight="1" x14ac:dyDescent="0.25">
      <c r="M251" s="26" t="s">
        <v>132</v>
      </c>
      <c r="N251" s="534">
        <f>N247-N249-N248</f>
        <v>-1.9999984724563546E-3</v>
      </c>
      <c r="Q251" s="360"/>
      <c r="R251" s="449"/>
      <c r="S251" s="471">
        <v>42491</v>
      </c>
      <c r="T251" s="424">
        <v>0.13</v>
      </c>
    </row>
    <row r="252" spans="1:21" ht="18" customHeight="1" x14ac:dyDescent="0.25">
      <c r="Q252" s="360"/>
      <c r="R252" s="449"/>
      <c r="S252" s="471">
        <v>42552</v>
      </c>
      <c r="T252" s="424">
        <v>0.64</v>
      </c>
    </row>
    <row r="253" spans="1:21" ht="18" customHeight="1" x14ac:dyDescent="0.25">
      <c r="Q253" s="360"/>
      <c r="R253" s="449"/>
      <c r="S253" s="471">
        <v>42580</v>
      </c>
      <c r="T253" s="424">
        <v>-0.66</v>
      </c>
      <c r="U253" s="25" t="s">
        <v>263</v>
      </c>
    </row>
    <row r="254" spans="1:21" ht="18" customHeight="1" x14ac:dyDescent="0.25">
      <c r="Q254" s="360"/>
      <c r="R254" s="449"/>
      <c r="S254" s="471">
        <v>42582</v>
      </c>
      <c r="T254" s="424">
        <v>0.26</v>
      </c>
    </row>
    <row r="255" spans="1:21" ht="18" customHeight="1" x14ac:dyDescent="0.25">
      <c r="Q255" s="360"/>
      <c r="R255" s="449"/>
      <c r="S255" s="471">
        <v>42608</v>
      </c>
      <c r="T255" s="424">
        <v>0.44</v>
      </c>
    </row>
    <row r="256" spans="1:21" ht="18" customHeight="1" x14ac:dyDescent="0.25">
      <c r="Q256" s="360"/>
      <c r="R256" s="449"/>
      <c r="S256" s="471">
        <v>42614</v>
      </c>
      <c r="T256" s="424">
        <v>0.23</v>
      </c>
    </row>
    <row r="257" spans="17:20" ht="18" customHeight="1" x14ac:dyDescent="0.25">
      <c r="Q257" s="360"/>
      <c r="R257" s="449"/>
      <c r="S257" s="471">
        <v>42639</v>
      </c>
      <c r="T257" s="424">
        <v>0.56999999999999995</v>
      </c>
    </row>
    <row r="258" spans="17:20" ht="18" customHeight="1" x14ac:dyDescent="0.25">
      <c r="Q258" s="360"/>
      <c r="R258" s="449"/>
      <c r="S258" s="471">
        <v>42644</v>
      </c>
      <c r="T258" s="424">
        <v>0.14000000000000001</v>
      </c>
    </row>
    <row r="259" spans="17:20" ht="18" customHeight="1" x14ac:dyDescent="0.25">
      <c r="Q259" s="360"/>
      <c r="R259" s="449"/>
      <c r="S259" s="471">
        <v>42674</v>
      </c>
      <c r="T259" s="424">
        <v>0.45</v>
      </c>
    </row>
    <row r="260" spans="17:20" ht="18" customHeight="1" x14ac:dyDescent="0.25">
      <c r="Q260" s="360"/>
      <c r="R260" s="449"/>
      <c r="S260" s="471">
        <v>42704</v>
      </c>
      <c r="T260" s="424">
        <v>0.43</v>
      </c>
    </row>
    <row r="261" spans="17:20" ht="18" customHeight="1" x14ac:dyDescent="0.25">
      <c r="Q261" s="360"/>
      <c r="R261" s="449"/>
      <c r="S261" s="471">
        <v>43099</v>
      </c>
      <c r="T261" s="424">
        <v>0.64</v>
      </c>
    </row>
    <row r="262" spans="17:20" ht="18" customHeight="1" x14ac:dyDescent="0.25">
      <c r="Q262" s="360"/>
      <c r="R262" s="449"/>
      <c r="S262" s="471">
        <v>42760</v>
      </c>
      <c r="T262" s="424">
        <v>0.56999999999999995</v>
      </c>
    </row>
    <row r="263" spans="17:20" ht="18" customHeight="1" x14ac:dyDescent="0.25">
      <c r="Q263" s="360"/>
      <c r="R263" s="449"/>
      <c r="S263" s="471">
        <v>42767</v>
      </c>
      <c r="T263" s="424">
        <v>0.12</v>
      </c>
    </row>
    <row r="264" spans="17:20" ht="18" customHeight="1" x14ac:dyDescent="0.25">
      <c r="Q264" s="360"/>
      <c r="R264" s="449"/>
      <c r="S264" s="471">
        <v>42794</v>
      </c>
      <c r="T264" s="424">
        <v>0.28000000000000003</v>
      </c>
    </row>
    <row r="265" spans="17:20" ht="18" customHeight="1" x14ac:dyDescent="0.25">
      <c r="Q265" s="360"/>
      <c r="R265" s="449"/>
      <c r="S265" s="471"/>
      <c r="T265" s="424"/>
    </row>
    <row r="266" spans="17:20" ht="18" customHeight="1" x14ac:dyDescent="0.25">
      <c r="Q266" s="360"/>
      <c r="R266" s="449"/>
      <c r="S266" s="471"/>
      <c r="T266" s="424"/>
    </row>
    <row r="267" spans="17:20" ht="18" customHeight="1" x14ac:dyDescent="0.25">
      <c r="Q267" s="360" t="s">
        <v>81</v>
      </c>
      <c r="R267" s="449">
        <f>SUM(R243:R262)</f>
        <v>0.03</v>
      </c>
      <c r="S267" s="425" t="s">
        <v>81</v>
      </c>
      <c r="T267" s="424">
        <f>SUM(T243:T266)</f>
        <v>1009.9100000000002</v>
      </c>
    </row>
    <row r="274" spans="1:1" ht="18" customHeight="1" x14ac:dyDescent="0.25">
      <c r="A274" s="508"/>
    </row>
    <row r="275" spans="1:1" ht="18" customHeight="1" x14ac:dyDescent="0.25">
      <c r="A275" s="509"/>
    </row>
    <row r="276" spans="1:1" ht="18" customHeight="1" x14ac:dyDescent="0.25">
      <c r="A276" s="509"/>
    </row>
    <row r="277" spans="1:1" ht="18" customHeight="1" x14ac:dyDescent="0.25">
      <c r="A277" s="508"/>
    </row>
    <row r="278" spans="1:1" ht="18" customHeight="1" x14ac:dyDescent="0.25">
      <c r="A278" s="509"/>
    </row>
    <row r="279" spans="1:1" ht="18" customHeight="1" x14ac:dyDescent="0.25">
      <c r="A279" s="509"/>
    </row>
    <row r="280" spans="1:1" ht="18" customHeight="1" x14ac:dyDescent="0.25">
      <c r="A280" s="508"/>
    </row>
    <row r="281" spans="1:1" ht="18" customHeight="1" x14ac:dyDescent="0.25">
      <c r="A281" s="509"/>
    </row>
    <row r="282" spans="1:1" ht="18" customHeight="1" x14ac:dyDescent="0.25">
      <c r="A282" s="509"/>
    </row>
    <row r="283" spans="1:1" ht="18" customHeight="1" x14ac:dyDescent="0.25">
      <c r="A283" s="509"/>
    </row>
  </sheetData>
  <mergeCells count="3">
    <mergeCell ref="B12:B13"/>
    <mergeCell ref="B14:B15"/>
    <mergeCell ref="B163:B164"/>
  </mergeCells>
  <conditionalFormatting sqref="Q13">
    <cfRule type="expression" dxfId="1205" priority="5">
      <formula>#REF!&gt;0</formula>
    </cfRule>
    <cfRule type="expression" dxfId="120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76"/>
  <sheetViews>
    <sheetView topLeftCell="D1" zoomScaleNormal="100" workbookViewId="0">
      <pane ySplit="1" topLeftCell="A360" activePane="bottomLeft" state="frozen"/>
      <selection pane="bottomLeft" activeCell="T379" sqref="T379"/>
    </sheetView>
  </sheetViews>
  <sheetFormatPr defaultColWidth="9.140625" defaultRowHeight="20.100000000000001" customHeight="1" x14ac:dyDescent="0.25"/>
  <cols>
    <col min="1" max="1" width="14.42578125" style="169" customWidth="1"/>
    <col min="2" max="2" width="11.28515625" style="180" bestFit="1" customWidth="1"/>
    <col min="3" max="3" width="9.5703125" style="169" bestFit="1" customWidth="1"/>
    <col min="4" max="4" width="12.5703125" style="181" bestFit="1" customWidth="1"/>
    <col min="5" max="5" width="13.7109375" style="181" bestFit="1" customWidth="1"/>
    <col min="6" max="6" width="12.5703125" style="181" bestFit="1" customWidth="1"/>
    <col min="7" max="7" width="12.85546875" style="181" bestFit="1" customWidth="1"/>
    <col min="8" max="8" width="13.5703125" style="181" bestFit="1" customWidth="1"/>
    <col min="9" max="9" width="14.28515625" style="227" bestFit="1" customWidth="1"/>
    <col min="10" max="10" width="12.85546875" style="169" bestFit="1" customWidth="1"/>
    <col min="11" max="11" width="10.28515625" style="169" bestFit="1" customWidth="1"/>
    <col min="12" max="12" width="12.140625" style="169" bestFit="1" customWidth="1"/>
    <col min="13" max="13" width="11.42578125" style="217" bestFit="1" customWidth="1"/>
    <col min="14" max="14" width="8.7109375" style="189" bestFit="1" customWidth="1"/>
    <col min="15" max="15" width="10.7109375" style="216" bestFit="1" customWidth="1"/>
    <col min="16" max="16" width="11.5703125" style="340" bestFit="1" customWidth="1"/>
    <col min="17" max="17" width="13.85546875" style="340" bestFit="1" customWidth="1"/>
    <col min="18" max="18" width="10.7109375" style="340" bestFit="1" customWidth="1"/>
    <col min="19" max="19" width="12.5703125" style="340" bestFit="1" customWidth="1"/>
    <col min="20" max="20" width="12" style="340" customWidth="1"/>
    <col min="21" max="21" width="9" style="189" bestFit="1" customWidth="1"/>
    <col min="22" max="22" width="8" style="189" bestFit="1" customWidth="1"/>
    <col min="23" max="23" width="8.28515625" style="217" bestFit="1" customWidth="1"/>
    <col min="24" max="24" width="11.42578125" style="169" bestFit="1" customWidth="1"/>
    <col min="25" max="25" width="9.140625" style="169"/>
    <col min="26" max="26" width="11.42578125" style="169" bestFit="1" customWidth="1"/>
    <col min="27" max="16384" width="9.140625" style="169"/>
  </cols>
  <sheetData>
    <row r="1" spans="1:42" ht="20.100000000000001" customHeight="1" x14ac:dyDescent="0.25">
      <c r="A1" s="344"/>
      <c r="B1" s="345" t="s">
        <v>86</v>
      </c>
      <c r="C1" s="344" t="s">
        <v>136</v>
      </c>
      <c r="D1" s="346" t="s">
        <v>138</v>
      </c>
      <c r="E1" s="346" t="s">
        <v>141</v>
      </c>
      <c r="F1" s="346" t="s">
        <v>154</v>
      </c>
      <c r="G1" s="346" t="s">
        <v>293</v>
      </c>
      <c r="H1" s="346" t="s">
        <v>292</v>
      </c>
      <c r="I1" s="344" t="s">
        <v>85</v>
      </c>
      <c r="J1" s="344" t="s">
        <v>87</v>
      </c>
      <c r="K1" s="344" t="s">
        <v>135</v>
      </c>
      <c r="L1" s="344" t="s">
        <v>137</v>
      </c>
      <c r="M1" s="347" t="s">
        <v>96</v>
      </c>
      <c r="N1" s="347" t="s">
        <v>76</v>
      </c>
      <c r="O1" s="344" t="s">
        <v>150</v>
      </c>
      <c r="P1" s="348" t="s">
        <v>190</v>
      </c>
      <c r="Q1" s="348" t="s">
        <v>191</v>
      </c>
      <c r="R1" s="348" t="s">
        <v>192</v>
      </c>
      <c r="S1" s="348" t="s">
        <v>219</v>
      </c>
      <c r="T1" s="348" t="s">
        <v>220</v>
      </c>
      <c r="U1" s="347" t="s">
        <v>226</v>
      </c>
      <c r="V1" s="347" t="s">
        <v>227</v>
      </c>
      <c r="W1" s="347" t="s">
        <v>294</v>
      </c>
      <c r="X1" s="218" t="s">
        <v>151</v>
      </c>
      <c r="Y1" s="167"/>
      <c r="Z1" s="168"/>
      <c r="AA1" s="167"/>
      <c r="AB1" s="168"/>
      <c r="AC1" s="168"/>
      <c r="AD1" s="166"/>
      <c r="AE1" s="166"/>
      <c r="AF1" s="166"/>
      <c r="AG1" s="166"/>
    </row>
    <row r="2" spans="1:42" ht="20.100000000000001" customHeight="1" x14ac:dyDescent="0.25">
      <c r="A2" s="166"/>
      <c r="B2" s="170">
        <v>42233</v>
      </c>
      <c r="C2" s="202">
        <v>2102.44</v>
      </c>
      <c r="D2" s="203"/>
      <c r="E2" s="203"/>
      <c r="F2" s="220">
        <v>5091.7</v>
      </c>
      <c r="G2" s="203"/>
      <c r="H2" s="203"/>
      <c r="I2" s="224">
        <v>322588.21000000002</v>
      </c>
      <c r="J2" s="172">
        <v>360000</v>
      </c>
      <c r="K2" s="173"/>
      <c r="L2" s="173"/>
      <c r="M2" s="171">
        <f t="shared" ref="M2:M29" si="0">I2-J2</f>
        <v>-37411.789999999979</v>
      </c>
      <c r="N2" s="187">
        <f t="shared" ref="N2:N29" si="1">M2/J2</f>
        <v>-0.10392163888888883</v>
      </c>
      <c r="O2" s="171" t="b">
        <f>L2&gt;D2</f>
        <v>0</v>
      </c>
      <c r="P2" s="187">
        <f>COUNTIF(O$2:O2, TRUE)/(COUNTIF(O$2:O2,FALSE) + COUNTIF(O$2:O2, TRUE))</f>
        <v>0</v>
      </c>
      <c r="Q2" s="341"/>
      <c r="R2" s="341"/>
      <c r="S2" s="341"/>
      <c r="T2" s="341"/>
      <c r="U2" s="187"/>
      <c r="V2" s="187"/>
      <c r="W2" s="171" t="e">
        <f>N2/V2</f>
        <v>#DIV/0!</v>
      </c>
      <c r="X2" s="339">
        <f>LOOKUP(2,1/(M:M&lt;&gt;""),M:M)</f>
        <v>19727.840000000026</v>
      </c>
      <c r="Y2" s="167"/>
      <c r="Z2" s="168"/>
      <c r="AA2" s="167"/>
      <c r="AB2" s="168"/>
      <c r="AC2" s="168"/>
      <c r="AD2" s="166"/>
      <c r="AE2" s="166"/>
      <c r="AF2" s="166"/>
      <c r="AG2" s="166"/>
    </row>
    <row r="3" spans="1:42" ht="20.100000000000001" customHeight="1" x14ac:dyDescent="0.25">
      <c r="A3" s="166"/>
      <c r="B3" s="170">
        <v>42234</v>
      </c>
      <c r="C3" s="204">
        <v>2096.92</v>
      </c>
      <c r="D3" s="174">
        <f>(C3-C2)/C2</f>
        <v>-2.6255208234242031E-3</v>
      </c>
      <c r="E3" s="205">
        <f>(C3-$C$2)/$C$2</f>
        <v>-2.6255208234242031E-3</v>
      </c>
      <c r="F3" s="221">
        <v>5059.3500000000004</v>
      </c>
      <c r="G3" s="174">
        <f t="shared" ref="G3:G66" si="2">(F3-F2)/F2</f>
        <v>-6.3534772276448836E-3</v>
      </c>
      <c r="H3" s="205">
        <f>(F3-F$2)/F$2</f>
        <v>-6.3534772276448836E-3</v>
      </c>
      <c r="I3" s="224">
        <v>319994.03000000003</v>
      </c>
      <c r="J3" s="172">
        <v>360000</v>
      </c>
      <c r="K3" s="172">
        <f t="shared" ref="K3:K28" si="3">I3-I2-J3+J2</f>
        <v>-2594.179999999993</v>
      </c>
      <c r="L3" s="174">
        <f>K3/I2</f>
        <v>-8.0417694124654861E-3</v>
      </c>
      <c r="M3" s="171">
        <f t="shared" si="0"/>
        <v>-40005.969999999972</v>
      </c>
      <c r="N3" s="187">
        <f t="shared" si="1"/>
        <v>-0.11112769444444437</v>
      </c>
      <c r="O3" s="171" t="b">
        <f>L3&gt;D3</f>
        <v>0</v>
      </c>
      <c r="P3" s="187">
        <f>COUNTIF(O$2:O3, TRUE)/(COUNTIF(O$2:O3,FALSE) + COUNTIF(O$2:O3, TRUE))</f>
        <v>0</v>
      </c>
      <c r="Q3" s="341"/>
      <c r="R3" s="341"/>
      <c r="S3" s="341"/>
      <c r="T3" s="341"/>
      <c r="U3" s="187"/>
      <c r="V3" s="187"/>
      <c r="W3" s="171" t="e">
        <f t="shared" ref="W3:W66" si="4">N3/V3</f>
        <v>#DIV/0!</v>
      </c>
      <c r="Y3" s="167"/>
      <c r="Z3" s="168"/>
      <c r="AA3" s="167"/>
      <c r="AB3" s="168"/>
      <c r="AC3" s="168"/>
      <c r="AD3" s="166"/>
      <c r="AE3" s="166"/>
      <c r="AF3" s="166"/>
      <c r="AG3" s="166"/>
    </row>
    <row r="4" spans="1:42" ht="20.100000000000001" customHeight="1" x14ac:dyDescent="0.25">
      <c r="A4" s="166"/>
      <c r="B4" s="170">
        <v>42235</v>
      </c>
      <c r="C4" s="204">
        <v>2079.61</v>
      </c>
      <c r="D4" s="174">
        <f t="shared" ref="D4:D67" si="5">(C4-C3)/C3</f>
        <v>-8.254964424012334E-3</v>
      </c>
      <c r="E4" s="205">
        <f t="shared" ref="E4:E43" si="6">(C4-$C$2)/$C$2</f>
        <v>-1.0858811666444668E-2</v>
      </c>
      <c r="F4" s="221">
        <v>5019.05</v>
      </c>
      <c r="G4" s="174">
        <f t="shared" si="2"/>
        <v>-7.9654501072272486E-3</v>
      </c>
      <c r="H4" s="205">
        <f t="shared" ref="H4:H66" si="7">(F4-F$2)/F$2</f>
        <v>-1.4268319029007923E-2</v>
      </c>
      <c r="I4" s="224">
        <v>311839.78000000003</v>
      </c>
      <c r="J4" s="172">
        <v>360000</v>
      </c>
      <c r="K4" s="172">
        <f t="shared" si="3"/>
        <v>-8154.25</v>
      </c>
      <c r="L4" s="174">
        <f t="shared" ref="L4:L67" si="8">K4/I3</f>
        <v>-2.5482506658014836E-2</v>
      </c>
      <c r="M4" s="171">
        <f t="shared" si="0"/>
        <v>-48160.219999999972</v>
      </c>
      <c r="N4" s="187">
        <f t="shared" si="1"/>
        <v>-0.13377838888888882</v>
      </c>
      <c r="O4" s="171" t="b">
        <f>L4&gt;D4</f>
        <v>0</v>
      </c>
      <c r="P4" s="187">
        <f>COUNTIF(O$2:O4, TRUE)/(COUNTIF(O$2:O4,FALSE) + COUNTIF(O$2:O4, TRUE))</f>
        <v>0</v>
      </c>
      <c r="Q4" s="341"/>
      <c r="R4" s="341"/>
      <c r="S4" s="341"/>
      <c r="T4" s="341"/>
      <c r="U4" s="187">
        <f>STDEV(D$2:D4)*SQRT(252)</f>
        <v>6.3190347694703594E-2</v>
      </c>
      <c r="V4" s="187">
        <f>STDEV(L$2:L4)*SQRT(252)</f>
        <v>0.19577179003677936</v>
      </c>
      <c r="W4" s="171">
        <f t="shared" si="4"/>
        <v>-0.68333843636897873</v>
      </c>
      <c r="X4" s="166"/>
      <c r="Y4" s="167"/>
      <c r="Z4" s="168"/>
      <c r="AA4" s="167"/>
      <c r="AB4" s="168"/>
      <c r="AC4" s="168"/>
      <c r="AD4" s="166"/>
      <c r="AE4" s="166"/>
      <c r="AF4" s="166"/>
      <c r="AG4" s="166"/>
    </row>
    <row r="5" spans="1:42" ht="20.100000000000001" customHeight="1" x14ac:dyDescent="0.25">
      <c r="A5" s="166"/>
      <c r="B5" s="170">
        <v>42236</v>
      </c>
      <c r="C5" s="204">
        <v>2035.73</v>
      </c>
      <c r="D5" s="174">
        <f t="shared" si="5"/>
        <v>-2.1100110116800797E-2</v>
      </c>
      <c r="E5" s="205">
        <f t="shared" si="6"/>
        <v>-3.1729799661345884E-2</v>
      </c>
      <c r="F5" s="221">
        <v>4877.49</v>
      </c>
      <c r="G5" s="174">
        <f t="shared" si="2"/>
        <v>-2.8204540699933334E-2</v>
      </c>
      <c r="H5" s="205">
        <f t="shared" si="7"/>
        <v>-4.2070428344167965E-2</v>
      </c>
      <c r="I5" s="224">
        <v>301697.40999999997</v>
      </c>
      <c r="J5" s="172">
        <v>360000</v>
      </c>
      <c r="K5" s="172">
        <f t="shared" si="3"/>
        <v>-10142.370000000054</v>
      </c>
      <c r="L5" s="174">
        <f t="shared" si="8"/>
        <v>-3.2524298214936055E-2</v>
      </c>
      <c r="M5" s="171">
        <f t="shared" si="0"/>
        <v>-58302.590000000026</v>
      </c>
      <c r="N5" s="187">
        <f t="shared" si="1"/>
        <v>-0.16195163888888897</v>
      </c>
      <c r="O5" s="171" t="b">
        <f>L5&gt;D5</f>
        <v>0</v>
      </c>
      <c r="P5" s="187">
        <f>COUNTIF(O$2:O5, TRUE)/(COUNTIF(O$2:O5,FALSE) + COUNTIF(O$2:O5, TRUE))</f>
        <v>0</v>
      </c>
      <c r="Q5" s="341"/>
      <c r="R5" s="341"/>
      <c r="S5" s="341"/>
      <c r="T5" s="341"/>
      <c r="U5" s="187">
        <f>STDEV(D$2:D5)*SQRT(252)</f>
        <v>0.15031949910961184</v>
      </c>
      <c r="V5" s="187">
        <f>STDEV(L$2:L5)*SQRT(252)</f>
        <v>0.20008182112239786</v>
      </c>
      <c r="W5" s="171">
        <f t="shared" si="4"/>
        <v>-0.80942705329444609</v>
      </c>
      <c r="X5" s="166"/>
      <c r="Y5" s="167"/>
      <c r="Z5" s="168"/>
      <c r="AA5" s="167"/>
      <c r="AB5" s="168"/>
      <c r="AC5" s="168"/>
      <c r="AD5" s="166"/>
      <c r="AE5" s="166"/>
      <c r="AF5" s="166"/>
      <c r="AG5" s="166"/>
    </row>
    <row r="6" spans="1:42" ht="20.100000000000001" customHeight="1" x14ac:dyDescent="0.25">
      <c r="A6" s="166"/>
      <c r="B6" s="170">
        <v>42237</v>
      </c>
      <c r="C6" s="204">
        <v>1970.89</v>
      </c>
      <c r="D6" s="174">
        <f t="shared" si="5"/>
        <v>-3.1850982202944356E-2</v>
      </c>
      <c r="E6" s="205">
        <f t="shared" si="6"/>
        <v>-6.2570156579973724E-2</v>
      </c>
      <c r="F6" s="221">
        <v>4706.04</v>
      </c>
      <c r="G6" s="174">
        <f t="shared" si="2"/>
        <v>-3.5151276578732057E-2</v>
      </c>
      <c r="H6" s="205">
        <f t="shared" si="7"/>
        <v>-7.5742875660388453E-2</v>
      </c>
      <c r="I6" s="224">
        <v>295093.56</v>
      </c>
      <c r="J6" s="172">
        <v>360000</v>
      </c>
      <c r="K6" s="172">
        <f t="shared" si="3"/>
        <v>-6603.8499999999767</v>
      </c>
      <c r="L6" s="174">
        <f t="shared" si="8"/>
        <v>-2.1888984728108792E-2</v>
      </c>
      <c r="M6" s="171">
        <f t="shared" si="0"/>
        <v>-64906.44</v>
      </c>
      <c r="N6" s="187">
        <f t="shared" si="1"/>
        <v>-0.18029566666666666</v>
      </c>
      <c r="O6" s="171" t="b">
        <f>L6&gt;D6</f>
        <v>1</v>
      </c>
      <c r="P6" s="187">
        <f>COUNTIF(O$2:O6, TRUE)/(COUNTIF(O$2:O6,FALSE) + COUNTIF(O$2:O6, TRUE))</f>
        <v>0.2</v>
      </c>
      <c r="Q6" s="341"/>
      <c r="R6" s="341"/>
      <c r="S6" s="341"/>
      <c r="T6" s="341"/>
      <c r="U6" s="187">
        <f>STDEV(D$2:D6)*SQRT(252)</f>
        <v>0.20821641331654633</v>
      </c>
      <c r="V6" s="187">
        <f>STDEV(L$2:L6)*SQRT(252)</f>
        <v>0.16336924292253127</v>
      </c>
      <c r="W6" s="171">
        <f t="shared" si="4"/>
        <v>-1.1036083869970665</v>
      </c>
      <c r="X6" s="166"/>
      <c r="Y6" s="167"/>
      <c r="Z6" s="168"/>
      <c r="AA6" s="167"/>
      <c r="AB6" s="168"/>
      <c r="AC6" s="168"/>
      <c r="AD6" s="166"/>
      <c r="AE6" s="166"/>
      <c r="AF6" s="166"/>
      <c r="AG6" s="166"/>
    </row>
    <row r="7" spans="1:42" ht="20.100000000000001" customHeight="1" x14ac:dyDescent="0.25">
      <c r="A7" s="166"/>
      <c r="B7" s="175">
        <v>42240</v>
      </c>
      <c r="C7" s="206">
        <v>1893.21</v>
      </c>
      <c r="D7" s="174">
        <f t="shared" si="5"/>
        <v>-3.9413665907280494E-2</v>
      </c>
      <c r="E7" s="207">
        <f t="shared" si="6"/>
        <v>-9.95177032400449E-2</v>
      </c>
      <c r="F7" s="222">
        <v>4526.25</v>
      </c>
      <c r="G7" s="174">
        <f t="shared" si="2"/>
        <v>-3.8204095162812035E-2</v>
      </c>
      <c r="H7" s="207">
        <f t="shared" si="7"/>
        <v>-0.11105328279356597</v>
      </c>
      <c r="I7" s="225">
        <v>283095.28999999998</v>
      </c>
      <c r="J7" s="176">
        <v>360000</v>
      </c>
      <c r="K7" s="176">
        <f t="shared" si="3"/>
        <v>-11998.270000000019</v>
      </c>
      <c r="L7" s="174">
        <f t="shared" si="8"/>
        <v>-4.0659206524195309E-2</v>
      </c>
      <c r="M7" s="177">
        <f t="shared" si="0"/>
        <v>-76904.710000000021</v>
      </c>
      <c r="N7" s="188">
        <f t="shared" si="1"/>
        <v>-0.2136241944444445</v>
      </c>
      <c r="O7" s="177" t="b">
        <f t="shared" ref="O7:O58" si="9">L7&gt;D7</f>
        <v>0</v>
      </c>
      <c r="P7" s="188">
        <f>COUNTIF(O$2:O7, TRUE)/(COUNTIF(O$2:O7,FALSE) + COUNTIF(O$2:O7, TRUE))</f>
        <v>0.16666666666666666</v>
      </c>
      <c r="Q7" s="342"/>
      <c r="R7" s="342"/>
      <c r="S7" s="342"/>
      <c r="T7" s="342"/>
      <c r="U7" s="188">
        <f>STDEV(D$2:D7)*SQRT(252)</f>
        <v>0.24544711494961968</v>
      </c>
      <c r="V7" s="188">
        <f>STDEV(L$2:L7)*SQRT(252)</f>
        <v>0.19389190476539761</v>
      </c>
      <c r="W7" s="177">
        <f t="shared" si="4"/>
        <v>-1.1017695385628516</v>
      </c>
      <c r="X7" s="166"/>
      <c r="Y7" s="167"/>
      <c r="Z7" s="168"/>
      <c r="AA7" s="167"/>
      <c r="AB7" s="168"/>
      <c r="AC7" s="168"/>
      <c r="AD7" s="166"/>
      <c r="AE7" s="166"/>
      <c r="AF7" s="166"/>
      <c r="AG7" s="166"/>
    </row>
    <row r="8" spans="1:42" ht="20.100000000000001" customHeight="1" x14ac:dyDescent="0.25">
      <c r="A8" s="166"/>
      <c r="B8" s="175">
        <v>42241</v>
      </c>
      <c r="C8" s="206">
        <v>1867.61</v>
      </c>
      <c r="D8" s="174">
        <f t="shared" si="5"/>
        <v>-1.3522007595565277E-2</v>
      </c>
      <c r="E8" s="207">
        <f t="shared" si="6"/>
        <v>-0.11169403169650509</v>
      </c>
      <c r="F8" s="222">
        <v>4506.49</v>
      </c>
      <c r="G8" s="174">
        <f t="shared" si="2"/>
        <v>-4.3656448494891397E-3</v>
      </c>
      <c r="H8" s="207">
        <f t="shared" si="7"/>
        <v>-0.11493410845100852</v>
      </c>
      <c r="I8" s="225">
        <v>276943.21000000002</v>
      </c>
      <c r="J8" s="176">
        <v>360000</v>
      </c>
      <c r="K8" s="176">
        <f t="shared" si="3"/>
        <v>-6152.0799999999581</v>
      </c>
      <c r="L8" s="174">
        <f t="shared" si="8"/>
        <v>-2.1731481297339698E-2</v>
      </c>
      <c r="M8" s="177">
        <f t="shared" si="0"/>
        <v>-83056.789999999979</v>
      </c>
      <c r="N8" s="188">
        <f t="shared" si="1"/>
        <v>-0.2307133055555555</v>
      </c>
      <c r="O8" s="177" t="b">
        <f t="shared" si="9"/>
        <v>0</v>
      </c>
      <c r="P8" s="188">
        <f>COUNTIF(O$2:O8, TRUE)/(COUNTIF(O$2:O8,FALSE) + COUNTIF(O$2:O8, TRUE))</f>
        <v>0.14285714285714285</v>
      </c>
      <c r="Q8" s="342"/>
      <c r="R8" s="342"/>
      <c r="S8" s="342"/>
      <c r="T8" s="342"/>
      <c r="U8" s="188">
        <f>STDEV(D$2:D8)*SQRT(252)</f>
        <v>0.22434082778798065</v>
      </c>
      <c r="V8" s="188">
        <f>STDEV(L$2:L8)*SQRT(252)</f>
        <v>0.17533735395795544</v>
      </c>
      <c r="W8" s="177">
        <f t="shared" si="4"/>
        <v>-1.3158251812724333</v>
      </c>
      <c r="X8" s="166"/>
      <c r="Y8" s="167"/>
      <c r="Z8" s="168"/>
      <c r="AA8" s="167"/>
      <c r="AB8" s="168"/>
      <c r="AC8" s="168"/>
      <c r="AD8" s="166"/>
      <c r="AE8" s="166"/>
      <c r="AF8" s="166"/>
      <c r="AG8" s="166"/>
      <c r="AP8" s="573"/>
    </row>
    <row r="9" spans="1:42" ht="20.100000000000001" customHeight="1" x14ac:dyDescent="0.25">
      <c r="A9" s="166"/>
      <c r="B9" s="175">
        <v>42242</v>
      </c>
      <c r="C9" s="206">
        <v>1940.51</v>
      </c>
      <c r="D9" s="174">
        <f t="shared" si="5"/>
        <v>3.9033845395987435E-2</v>
      </c>
      <c r="E9" s="207">
        <f t="shared" si="6"/>
        <v>-7.7020033865413548E-2</v>
      </c>
      <c r="F9" s="222">
        <v>4697.54</v>
      </c>
      <c r="G9" s="174">
        <f t="shared" si="2"/>
        <v>4.239441339046579E-2</v>
      </c>
      <c r="H9" s="207">
        <f t="shared" si="7"/>
        <v>-7.741225916687941E-2</v>
      </c>
      <c r="I9" s="225">
        <v>284832.2</v>
      </c>
      <c r="J9" s="176">
        <v>360000</v>
      </c>
      <c r="K9" s="176">
        <f t="shared" si="3"/>
        <v>7888.9899999999907</v>
      </c>
      <c r="L9" s="174">
        <f t="shared" si="8"/>
        <v>2.8485948436865412E-2</v>
      </c>
      <c r="M9" s="177">
        <f t="shared" si="0"/>
        <v>-75167.799999999988</v>
      </c>
      <c r="N9" s="188">
        <f t="shared" si="1"/>
        <v>-0.2087994444444444</v>
      </c>
      <c r="O9" s="177" t="b">
        <f t="shared" si="9"/>
        <v>0</v>
      </c>
      <c r="P9" s="188">
        <f>COUNTIF(O$2:O9, TRUE)/(COUNTIF(O$2:O9,FALSE) + COUNTIF(O$2:O9, TRUE))</f>
        <v>0.125</v>
      </c>
      <c r="Q9" s="342"/>
      <c r="R9" s="342"/>
      <c r="S9" s="342"/>
      <c r="T9" s="342"/>
      <c r="U9" s="188">
        <f>STDEV(D$2:D9)*SQRT(252)</f>
        <v>0.40635063731985605</v>
      </c>
      <c r="V9" s="188">
        <f>STDEV(L$2:L9)*SQRT(252)</f>
        <v>0.35891083910893234</v>
      </c>
      <c r="W9" s="177">
        <f t="shared" si="4"/>
        <v>-0.58175853636192942</v>
      </c>
      <c r="X9" s="166"/>
      <c r="Y9" s="167"/>
      <c r="Z9" s="168"/>
      <c r="AA9" s="167"/>
      <c r="AB9" s="168"/>
      <c r="AC9" s="168"/>
      <c r="AD9" s="166"/>
      <c r="AE9" s="166"/>
      <c r="AF9" s="166"/>
      <c r="AG9" s="166"/>
    </row>
    <row r="10" spans="1:42" ht="20.100000000000001" customHeight="1" x14ac:dyDescent="0.25">
      <c r="A10" s="166"/>
      <c r="B10" s="175">
        <v>42243</v>
      </c>
      <c r="C10" s="206">
        <v>1987.66</v>
      </c>
      <c r="D10" s="174">
        <f t="shared" si="5"/>
        <v>2.429773616214299E-2</v>
      </c>
      <c r="E10" s="207">
        <f t="shared" si="6"/>
        <v>-5.4593710165331696E-2</v>
      </c>
      <c r="F10" s="222">
        <v>4812.71</v>
      </c>
      <c r="G10" s="174">
        <f t="shared" si="2"/>
        <v>2.4517087667161978E-2</v>
      </c>
      <c r="H10" s="207">
        <f t="shared" si="7"/>
        <v>-5.4793094644224875E-2</v>
      </c>
      <c r="I10" s="225">
        <v>300742.98</v>
      </c>
      <c r="J10" s="176">
        <v>360000</v>
      </c>
      <c r="K10" s="176">
        <f t="shared" si="3"/>
        <v>15910.77999999997</v>
      </c>
      <c r="L10" s="174">
        <f t="shared" si="8"/>
        <v>5.5860187155806013E-2</v>
      </c>
      <c r="M10" s="177">
        <f t="shared" si="0"/>
        <v>-59257.020000000019</v>
      </c>
      <c r="N10" s="188">
        <f t="shared" si="1"/>
        <v>-0.16460283333333339</v>
      </c>
      <c r="O10" s="177" t="b">
        <f t="shared" si="9"/>
        <v>1</v>
      </c>
      <c r="P10" s="188">
        <f>COUNTIF(O$2:O10, TRUE)/(COUNTIF(O$2:O10,FALSE) + COUNTIF(O$2:O10, TRUE))</f>
        <v>0.22222222222222221</v>
      </c>
      <c r="Q10" s="342"/>
      <c r="R10" s="342"/>
      <c r="S10" s="342"/>
      <c r="T10" s="342"/>
      <c r="U10" s="188">
        <f>STDEV(D$2:D10)*SQRT(252)</f>
        <v>0.42545538355052082</v>
      </c>
      <c r="V10" s="188">
        <f>STDEV(L$2:L10)*SQRT(252)</f>
        <v>0.52868202794227925</v>
      </c>
      <c r="W10" s="177">
        <f t="shared" si="4"/>
        <v>-0.31134561916923059</v>
      </c>
      <c r="X10" s="166" t="s">
        <v>124</v>
      </c>
      <c r="Y10" s="167"/>
      <c r="Z10" s="168"/>
      <c r="AA10" s="167"/>
      <c r="AB10" s="168"/>
      <c r="AC10" s="168"/>
      <c r="AD10" s="166"/>
      <c r="AE10" s="166"/>
      <c r="AF10" s="166"/>
      <c r="AG10" s="166"/>
    </row>
    <row r="11" spans="1:42" ht="20.100000000000001" customHeight="1" x14ac:dyDescent="0.25">
      <c r="A11" s="166"/>
      <c r="B11" s="175">
        <v>42244</v>
      </c>
      <c r="C11" s="206">
        <v>1988.87</v>
      </c>
      <c r="D11" s="174">
        <f t="shared" si="5"/>
        <v>6.0875602467213154E-4</v>
      </c>
      <c r="E11" s="207">
        <f t="shared" si="6"/>
        <v>-5.401818839063191E-2</v>
      </c>
      <c r="F11" s="222">
        <v>4828.32</v>
      </c>
      <c r="G11" s="174">
        <f t="shared" si="2"/>
        <v>3.2434948293164709E-3</v>
      </c>
      <c r="H11" s="207">
        <f t="shared" si="7"/>
        <v>-5.1727320934069197E-2</v>
      </c>
      <c r="I11" s="225">
        <v>307941.06</v>
      </c>
      <c r="J11" s="176">
        <v>360000</v>
      </c>
      <c r="K11" s="176">
        <f t="shared" si="3"/>
        <v>7198.0800000000163</v>
      </c>
      <c r="L11" s="174">
        <f t="shared" si="8"/>
        <v>2.3934324252556174E-2</v>
      </c>
      <c r="M11" s="177">
        <f t="shared" si="0"/>
        <v>-52058.94</v>
      </c>
      <c r="N11" s="188">
        <f t="shared" si="1"/>
        <v>-0.14460816666666668</v>
      </c>
      <c r="O11" s="177" t="b">
        <f t="shared" si="9"/>
        <v>1</v>
      </c>
      <c r="P11" s="188">
        <f>COUNTIF(O$2:O11, TRUE)/(COUNTIF(O$2:O11,FALSE) + COUNTIF(O$2:O11, TRUE))</f>
        <v>0.3</v>
      </c>
      <c r="Q11" s="342"/>
      <c r="R11" s="342"/>
      <c r="S11" s="342"/>
      <c r="T11" s="342"/>
      <c r="U11" s="188">
        <f>STDEV(D$2:D11)*SQRT(252)</f>
        <v>0.39984128605241964</v>
      </c>
      <c r="V11" s="188">
        <f>STDEV(L$2:L11)*SQRT(252)</f>
        <v>0.52303521027280186</v>
      </c>
      <c r="W11" s="177">
        <f t="shared" si="4"/>
        <v>-0.27647883703898773</v>
      </c>
      <c r="X11" s="166"/>
      <c r="Y11" s="167"/>
      <c r="Z11" s="168"/>
      <c r="AA11" s="167"/>
      <c r="AB11" s="168"/>
      <c r="AC11" s="168"/>
      <c r="AD11" s="166"/>
      <c r="AE11" s="166"/>
      <c r="AF11" s="166"/>
      <c r="AG11" s="166"/>
    </row>
    <row r="12" spans="1:42" ht="20.100000000000001" customHeight="1" x14ac:dyDescent="0.25">
      <c r="A12" s="166"/>
      <c r="B12" s="170">
        <v>42247</v>
      </c>
      <c r="C12" s="204">
        <v>1972.18</v>
      </c>
      <c r="D12" s="174">
        <f t="shared" si="5"/>
        <v>-8.391699809439445E-3</v>
      </c>
      <c r="E12" s="205">
        <f t="shared" si="6"/>
        <v>-6.1956583778847427E-2</v>
      </c>
      <c r="F12" s="221">
        <v>4776.51</v>
      </c>
      <c r="G12" s="174">
        <f t="shared" si="2"/>
        <v>-1.0730440401630277E-2</v>
      </c>
      <c r="H12" s="205">
        <f t="shared" si="7"/>
        <v>-6.1902704401280442E-2</v>
      </c>
      <c r="I12" s="486">
        <v>311200.71000000002</v>
      </c>
      <c r="J12" s="172">
        <v>360000</v>
      </c>
      <c r="K12" s="172">
        <f t="shared" si="3"/>
        <v>3259.6500000000233</v>
      </c>
      <c r="L12" s="174">
        <f t="shared" si="8"/>
        <v>1.0585304863209938E-2</v>
      </c>
      <c r="M12" s="171">
        <f t="shared" si="0"/>
        <v>-48799.289999999979</v>
      </c>
      <c r="N12" s="187">
        <f t="shared" si="1"/>
        <v>-0.13555358333333328</v>
      </c>
      <c r="O12" s="171" t="b">
        <f t="shared" si="9"/>
        <v>1</v>
      </c>
      <c r="P12" s="187">
        <f>COUNTIF(O$2:O12, TRUE)/(COUNTIF(O$2:O12,FALSE) + COUNTIF(O$2:O12, TRUE))</f>
        <v>0.36363636363636365</v>
      </c>
      <c r="Q12" s="341"/>
      <c r="R12" s="341"/>
      <c r="S12" s="341"/>
      <c r="T12" s="341"/>
      <c r="U12" s="187">
        <f>STDEV(D$2:D12)*SQRT(252)</f>
        <v>0.37718652016375942</v>
      </c>
      <c r="V12" s="187">
        <f>STDEV(L$2:L12)*SQRT(252)</f>
        <v>0.49903486890486387</v>
      </c>
      <c r="W12" s="171">
        <f t="shared" si="4"/>
        <v>-0.27163148665504422</v>
      </c>
      <c r="X12" s="166"/>
      <c r="Y12" s="167"/>
      <c r="Z12" s="168"/>
      <c r="AA12" s="167"/>
      <c r="AB12" s="168"/>
      <c r="AC12" s="168"/>
      <c r="AD12" s="166"/>
      <c r="AE12" s="166"/>
      <c r="AF12" s="166"/>
      <c r="AG12" s="166"/>
    </row>
    <row r="13" spans="1:42" ht="20.100000000000001" customHeight="1" x14ac:dyDescent="0.25">
      <c r="A13" s="166"/>
      <c r="B13" s="170">
        <v>42248</v>
      </c>
      <c r="C13" s="204">
        <v>1913.85</v>
      </c>
      <c r="D13" s="174">
        <f t="shared" si="5"/>
        <v>-2.9576407832956501E-2</v>
      </c>
      <c r="E13" s="205">
        <f t="shared" si="6"/>
        <v>-8.9700538422023995E-2</v>
      </c>
      <c r="F13" s="221">
        <v>4636.1000000000004</v>
      </c>
      <c r="G13" s="174">
        <f t="shared" si="2"/>
        <v>-2.9395939713305289E-2</v>
      </c>
      <c r="H13" s="205">
        <f t="shared" si="7"/>
        <v>-8.9478955947915134E-2</v>
      </c>
      <c r="I13" s="224">
        <v>307440.78999999998</v>
      </c>
      <c r="J13" s="172">
        <v>365000</v>
      </c>
      <c r="K13" s="172">
        <f t="shared" si="3"/>
        <v>-8759.9200000000419</v>
      </c>
      <c r="L13" s="174">
        <f t="shared" si="8"/>
        <v>-2.8148778966474854E-2</v>
      </c>
      <c r="M13" s="171">
        <f t="shared" si="0"/>
        <v>-57559.210000000021</v>
      </c>
      <c r="N13" s="187">
        <f t="shared" si="1"/>
        <v>-0.15769646575342472</v>
      </c>
      <c r="O13" s="171" t="b">
        <f t="shared" si="9"/>
        <v>1</v>
      </c>
      <c r="P13" s="187">
        <f>COUNTIF(O$2:O13, TRUE)/(COUNTIF(O$2:O13,FALSE) + COUNTIF(O$2:O13, TRUE))</f>
        <v>0.41666666666666669</v>
      </c>
      <c r="Q13" s="341"/>
      <c r="R13" s="341"/>
      <c r="S13" s="341"/>
      <c r="T13" s="341"/>
      <c r="U13" s="187">
        <f>STDEV(D$2:D13)*SQRT(252)</f>
        <v>0.37502713989732378</v>
      </c>
      <c r="V13" s="187">
        <f>STDEV(L$2:L13)*SQRT(252)</f>
        <v>0.48831680410668976</v>
      </c>
      <c r="W13" s="171">
        <f t="shared" si="4"/>
        <v>-0.32293884713205662</v>
      </c>
      <c r="X13" s="166"/>
      <c r="Y13" s="167"/>
      <c r="Z13" s="168"/>
      <c r="AA13" s="167"/>
      <c r="AB13" s="168"/>
      <c r="AC13" s="168"/>
      <c r="AD13" s="166"/>
      <c r="AE13" s="166"/>
      <c r="AF13" s="166"/>
      <c r="AG13" s="166"/>
    </row>
    <row r="14" spans="1:42" ht="20.100000000000001" customHeight="1" x14ac:dyDescent="0.25">
      <c r="A14" s="166"/>
      <c r="B14" s="170">
        <v>42249</v>
      </c>
      <c r="C14" s="204">
        <v>1948.86</v>
      </c>
      <c r="D14" s="174">
        <f t="shared" si="5"/>
        <v>1.829296966846931E-2</v>
      </c>
      <c r="E14" s="205">
        <f t="shared" si="6"/>
        <v>-7.3048457982154147E-2</v>
      </c>
      <c r="F14" s="221">
        <v>4749.9799999999996</v>
      </c>
      <c r="G14" s="174">
        <f t="shared" si="2"/>
        <v>2.4563749703414333E-2</v>
      </c>
      <c r="H14" s="205">
        <f t="shared" si="7"/>
        <v>-6.7113144922128221E-2</v>
      </c>
      <c r="I14" s="224">
        <v>326031.94</v>
      </c>
      <c r="J14" s="172">
        <v>380000</v>
      </c>
      <c r="K14" s="172">
        <f t="shared" si="3"/>
        <v>3591.1500000000233</v>
      </c>
      <c r="L14" s="174">
        <f t="shared" si="8"/>
        <v>1.1680785753900852E-2</v>
      </c>
      <c r="M14" s="171">
        <f t="shared" si="0"/>
        <v>-53968.06</v>
      </c>
      <c r="N14" s="187">
        <f t="shared" si="1"/>
        <v>-0.14202121052631578</v>
      </c>
      <c r="O14" s="171" t="b">
        <f t="shared" si="9"/>
        <v>0</v>
      </c>
      <c r="P14" s="187">
        <f>COUNTIF(O$2:O14, TRUE)/(COUNTIF(O$2:O14,FALSE) + COUNTIF(O$2:O14, TRUE))</f>
        <v>0.38461538461538464</v>
      </c>
      <c r="Q14" s="341"/>
      <c r="R14" s="341"/>
      <c r="S14" s="341"/>
      <c r="T14" s="341"/>
      <c r="U14" s="187">
        <f>STDEV(D$2:D14)*SQRT(252)</f>
        <v>0.37770238456909672</v>
      </c>
      <c r="V14" s="187">
        <f>STDEV(L$2:L14)*SQRT(252)</f>
        <v>0.47214016149480637</v>
      </c>
      <c r="W14" s="171">
        <f t="shared" si="4"/>
        <v>-0.30080307101322079</v>
      </c>
      <c r="Y14" s="167"/>
      <c r="Z14" s="168"/>
      <c r="AA14" s="167"/>
      <c r="AB14" s="168"/>
      <c r="AC14" s="168"/>
      <c r="AD14" s="166"/>
      <c r="AE14" s="166"/>
      <c r="AF14" s="166"/>
      <c r="AG14" s="166"/>
    </row>
    <row r="15" spans="1:42" ht="20.100000000000001" customHeight="1" x14ac:dyDescent="0.25">
      <c r="A15" s="166"/>
      <c r="B15" s="170">
        <v>42250</v>
      </c>
      <c r="C15" s="204">
        <v>1951.13</v>
      </c>
      <c r="D15" s="174">
        <f t="shared" si="5"/>
        <v>1.1647835144649741E-3</v>
      </c>
      <c r="E15" s="205">
        <f t="shared" si="6"/>
        <v>-7.1968760107303867E-2</v>
      </c>
      <c r="F15" s="221">
        <v>4733.5</v>
      </c>
      <c r="G15" s="174">
        <f t="shared" si="2"/>
        <v>-3.469488292582193E-3</v>
      </c>
      <c r="H15" s="205">
        <f t="shared" si="7"/>
        <v>-7.0349784944124721E-2</v>
      </c>
      <c r="I15" s="224">
        <v>328219.34000000003</v>
      </c>
      <c r="J15" s="172">
        <v>380000</v>
      </c>
      <c r="K15" s="172">
        <f t="shared" si="3"/>
        <v>2187.4000000000233</v>
      </c>
      <c r="L15" s="174">
        <f t="shared" si="8"/>
        <v>6.7091586180176802E-3</v>
      </c>
      <c r="M15" s="171">
        <f t="shared" si="0"/>
        <v>-51780.659999999974</v>
      </c>
      <c r="N15" s="187">
        <f t="shared" si="1"/>
        <v>-0.13626489473684203</v>
      </c>
      <c r="O15" s="171" t="b">
        <f t="shared" si="9"/>
        <v>1</v>
      </c>
      <c r="P15" s="187">
        <f>COUNTIF(O$2:O15, TRUE)/(COUNTIF(O$2:O15,FALSE) + COUNTIF(O$2:O15, TRUE))</f>
        <v>0.42857142857142855</v>
      </c>
      <c r="Q15" s="341"/>
      <c r="R15" s="341"/>
      <c r="S15" s="341"/>
      <c r="T15" s="341"/>
      <c r="U15" s="187">
        <f>STDEV(D$2:D15)*SQRT(252)</f>
        <v>0.3630118196770083</v>
      </c>
      <c r="V15" s="187">
        <f>STDEV(L$2:L15)*SQRT(252)</f>
        <v>0.45448950679382538</v>
      </c>
      <c r="W15" s="171">
        <f t="shared" si="4"/>
        <v>-0.29981967174141433</v>
      </c>
      <c r="X15" s="166"/>
      <c r="Y15" s="167"/>
      <c r="Z15" s="168"/>
      <c r="AA15" s="167"/>
      <c r="AB15" s="168"/>
      <c r="AC15" s="168"/>
      <c r="AD15" s="166"/>
      <c r="AE15" s="166"/>
      <c r="AF15" s="166"/>
      <c r="AG15" s="166"/>
    </row>
    <row r="16" spans="1:42" ht="20.100000000000001" customHeight="1" x14ac:dyDescent="0.25">
      <c r="A16" s="166"/>
      <c r="B16" s="170">
        <v>42251</v>
      </c>
      <c r="C16" s="204">
        <v>1921.22</v>
      </c>
      <c r="D16" s="174">
        <f t="shared" si="5"/>
        <v>-1.5329578244402004E-2</v>
      </c>
      <c r="E16" s="205">
        <f t="shared" si="6"/>
        <v>-8.6195087612488355E-2</v>
      </c>
      <c r="F16" s="221">
        <v>4683.92</v>
      </c>
      <c r="G16" s="174">
        <f t="shared" si="2"/>
        <v>-1.0474279074680454E-2</v>
      </c>
      <c r="H16" s="205">
        <f t="shared" si="7"/>
        <v>-8.0087200738456654E-2</v>
      </c>
      <c r="I16" s="224">
        <v>324929.40000000002</v>
      </c>
      <c r="J16" s="172">
        <v>380000</v>
      </c>
      <c r="K16" s="172">
        <f t="shared" si="3"/>
        <v>-3289.9400000000023</v>
      </c>
      <c r="L16" s="174">
        <f t="shared" si="8"/>
        <v>-1.0023601899875863E-2</v>
      </c>
      <c r="M16" s="171">
        <f t="shared" si="0"/>
        <v>-55070.599999999977</v>
      </c>
      <c r="N16" s="187">
        <f t="shared" si="1"/>
        <v>-0.1449226315789473</v>
      </c>
      <c r="O16" s="171" t="b">
        <f t="shared" si="9"/>
        <v>1</v>
      </c>
      <c r="P16" s="187">
        <f>COUNTIF(O$2:O16, TRUE)/(COUNTIF(O$2:O16,FALSE) + COUNTIF(O$2:O16, TRUE))</f>
        <v>0.46666666666666667</v>
      </c>
      <c r="Q16" s="341"/>
      <c r="R16" s="341"/>
      <c r="S16" s="341"/>
      <c r="T16" s="341"/>
      <c r="U16" s="187">
        <f>STDEV(D$2:D16)*SQRT(252)</f>
        <v>0.35126122417304334</v>
      </c>
      <c r="V16" s="187">
        <f>STDEV(L$2:L16)*SQRT(252)</f>
        <v>0.43762621603032426</v>
      </c>
      <c r="W16" s="171">
        <f t="shared" si="4"/>
        <v>-0.33115619282027942</v>
      </c>
      <c r="X16" s="166"/>
      <c r="Y16" s="167"/>
      <c r="Z16" s="168"/>
      <c r="AA16" s="167"/>
      <c r="AB16" s="168"/>
      <c r="AC16" s="168"/>
      <c r="AD16" s="166"/>
      <c r="AE16" s="166"/>
      <c r="AF16" s="166"/>
      <c r="AG16" s="166"/>
    </row>
    <row r="17" spans="1:33" ht="20.100000000000001" customHeight="1" x14ac:dyDescent="0.25">
      <c r="A17" s="166"/>
      <c r="B17" s="175">
        <v>42255</v>
      </c>
      <c r="C17" s="206">
        <v>1969.41</v>
      </c>
      <c r="D17" s="174">
        <f t="shared" si="5"/>
        <v>2.5083020164270647E-2</v>
      </c>
      <c r="E17" s="207">
        <f t="shared" si="6"/>
        <v>-6.3274100568862832E-2</v>
      </c>
      <c r="F17" s="222">
        <v>4811.93</v>
      </c>
      <c r="G17" s="174">
        <f t="shared" si="2"/>
        <v>2.7329672581939961E-2</v>
      </c>
      <c r="H17" s="207">
        <f t="shared" si="7"/>
        <v>-5.4946285130702821E-2</v>
      </c>
      <c r="I17" s="225">
        <v>331613.90000000002</v>
      </c>
      <c r="J17" s="176">
        <v>380000</v>
      </c>
      <c r="K17" s="176">
        <f t="shared" si="3"/>
        <v>6684.5</v>
      </c>
      <c r="L17" s="174">
        <f t="shared" si="8"/>
        <v>2.0572161214097585E-2</v>
      </c>
      <c r="M17" s="177">
        <f t="shared" si="0"/>
        <v>-48386.099999999977</v>
      </c>
      <c r="N17" s="188">
        <f t="shared" si="1"/>
        <v>-0.1273318421052631</v>
      </c>
      <c r="O17" s="177" t="b">
        <f t="shared" si="9"/>
        <v>0</v>
      </c>
      <c r="P17" s="188">
        <f>COUNTIF(O$2:O17, TRUE)/(COUNTIF(O$2:O17,FALSE) + COUNTIF(O$2:O17, TRUE))</f>
        <v>0.4375</v>
      </c>
      <c r="Q17" s="342"/>
      <c r="R17" s="342"/>
      <c r="S17" s="342"/>
      <c r="T17" s="342"/>
      <c r="U17" s="188">
        <f>STDEV(D$2:D17)*SQRT(252)</f>
        <v>0.36194228365900932</v>
      </c>
      <c r="V17" s="188">
        <f>STDEV(L$2:L17)*SQRT(252)</f>
        <v>0.43324605788841486</v>
      </c>
      <c r="W17" s="177">
        <f t="shared" si="4"/>
        <v>-0.29390190582659192</v>
      </c>
      <c r="X17" s="166"/>
      <c r="Y17" s="167"/>
      <c r="Z17" s="168"/>
      <c r="AA17" s="167"/>
      <c r="AB17" s="168"/>
      <c r="AC17" s="168"/>
      <c r="AD17" s="166"/>
      <c r="AE17" s="166"/>
      <c r="AF17" s="166"/>
      <c r="AG17" s="166"/>
    </row>
    <row r="18" spans="1:33" ht="20.100000000000001" customHeight="1" x14ac:dyDescent="0.25">
      <c r="A18" s="166"/>
      <c r="B18" s="175">
        <v>42256</v>
      </c>
      <c r="C18" s="206">
        <v>1942.04</v>
      </c>
      <c r="D18" s="174">
        <f t="shared" si="5"/>
        <v>-1.3897563229596741E-2</v>
      </c>
      <c r="E18" s="207">
        <f t="shared" si="6"/>
        <v>-7.629230798500794E-2</v>
      </c>
      <c r="F18" s="222">
        <v>4756.53</v>
      </c>
      <c r="G18" s="174">
        <f t="shared" si="2"/>
        <v>-1.1513051935502084E-2</v>
      </c>
      <c r="H18" s="207">
        <f t="shared" si="7"/>
        <v>-6.5826737631832208E-2</v>
      </c>
      <c r="I18" s="225">
        <v>321792.48</v>
      </c>
      <c r="J18" s="176">
        <v>380000</v>
      </c>
      <c r="K18" s="176">
        <f t="shared" si="3"/>
        <v>-9821.4200000000419</v>
      </c>
      <c r="L18" s="174">
        <f t="shared" si="8"/>
        <v>-2.9617033544130814E-2</v>
      </c>
      <c r="M18" s="177">
        <f t="shared" si="0"/>
        <v>-58207.520000000019</v>
      </c>
      <c r="N18" s="188">
        <f t="shared" si="1"/>
        <v>-0.15317768421052635</v>
      </c>
      <c r="O18" s="177" t="b">
        <f t="shared" si="9"/>
        <v>0</v>
      </c>
      <c r="P18" s="188">
        <f>COUNTIF(O$2:O18, TRUE)/(COUNTIF(O$2:O18,FALSE) + COUNTIF(O$2:O18, TRUE))</f>
        <v>0.41176470588235292</v>
      </c>
      <c r="Q18" s="342"/>
      <c r="R18" s="342"/>
      <c r="S18" s="342"/>
      <c r="T18" s="342"/>
      <c r="U18" s="188">
        <f>STDEV(D$2:D18)*SQRT(252)</f>
        <v>0.35182224095506454</v>
      </c>
      <c r="V18" s="188">
        <f>STDEV(L$2:L18)*SQRT(252)</f>
        <v>0.43262248943141224</v>
      </c>
      <c r="W18" s="177">
        <f t="shared" si="4"/>
        <v>-0.35406777953648449</v>
      </c>
      <c r="X18" s="166"/>
      <c r="Y18" s="167"/>
      <c r="Z18" s="168"/>
      <c r="AA18" s="167"/>
      <c r="AB18" s="168"/>
      <c r="AC18" s="168"/>
      <c r="AD18" s="166"/>
      <c r="AE18" s="166"/>
      <c r="AF18" s="166"/>
      <c r="AG18" s="166"/>
    </row>
    <row r="19" spans="1:33" ht="20.100000000000001" customHeight="1" x14ac:dyDescent="0.25">
      <c r="A19" s="166"/>
      <c r="B19" s="175">
        <v>42257</v>
      </c>
      <c r="C19" s="206">
        <v>1952.29</v>
      </c>
      <c r="D19" s="174">
        <f t="shared" si="5"/>
        <v>5.2779551399559227E-3</v>
      </c>
      <c r="E19" s="207">
        <f t="shared" si="6"/>
        <v>-7.1417020224120581E-2</v>
      </c>
      <c r="F19" s="222">
        <v>4796.25</v>
      </c>
      <c r="G19" s="174">
        <f t="shared" si="2"/>
        <v>8.3506253508335397E-3</v>
      </c>
      <c r="H19" s="207">
        <f t="shared" si="7"/>
        <v>-5.8025806705029721E-2</v>
      </c>
      <c r="I19" s="225">
        <v>323389.99</v>
      </c>
      <c r="J19" s="176">
        <v>380000</v>
      </c>
      <c r="K19" s="176">
        <f t="shared" si="3"/>
        <v>1597.5100000000093</v>
      </c>
      <c r="L19" s="174">
        <f t="shared" si="8"/>
        <v>4.9644106040017139E-3</v>
      </c>
      <c r="M19" s="177">
        <f t="shared" si="0"/>
        <v>-56610.010000000009</v>
      </c>
      <c r="N19" s="188">
        <f t="shared" si="1"/>
        <v>-0.14897371052631581</v>
      </c>
      <c r="O19" s="177" t="b">
        <f t="shared" si="9"/>
        <v>0</v>
      </c>
      <c r="P19" s="188">
        <f>COUNTIF(O$2:O19, TRUE)/(COUNTIF(O$2:O19,FALSE) + COUNTIF(O$2:O19, TRUE))</f>
        <v>0.3888888888888889</v>
      </c>
      <c r="Q19" s="342"/>
      <c r="R19" s="342"/>
      <c r="S19" s="342"/>
      <c r="T19" s="342"/>
      <c r="U19" s="188">
        <f>STDEV(D$2:D19)*SQRT(252)</f>
        <v>0.34281735693264087</v>
      </c>
      <c r="V19" s="188">
        <f>STDEV(L$2:L19)*SQRT(252)</f>
        <v>0.42023205119752755</v>
      </c>
      <c r="W19" s="177">
        <f t="shared" si="4"/>
        <v>-0.35450344661190919</v>
      </c>
      <c r="X19" s="166"/>
      <c r="Y19" s="167"/>
      <c r="Z19" s="168"/>
      <c r="AA19" s="167"/>
      <c r="AB19" s="168"/>
      <c r="AC19" s="168"/>
      <c r="AD19" s="166"/>
      <c r="AE19" s="166"/>
      <c r="AF19" s="166"/>
      <c r="AG19" s="166"/>
    </row>
    <row r="20" spans="1:33" ht="20.100000000000001" customHeight="1" x14ac:dyDescent="0.25">
      <c r="A20" s="166"/>
      <c r="B20" s="175">
        <v>42258</v>
      </c>
      <c r="C20" s="206">
        <v>1961.05</v>
      </c>
      <c r="D20" s="174">
        <f t="shared" si="5"/>
        <v>4.4870382986134183E-3</v>
      </c>
      <c r="E20" s="207">
        <f t="shared" si="6"/>
        <v>-6.7250432830425644E-2</v>
      </c>
      <c r="F20" s="222">
        <v>4822.34</v>
      </c>
      <c r="G20" s="174">
        <f t="shared" si="2"/>
        <v>5.4396664060464206E-3</v>
      </c>
      <c r="H20" s="207">
        <f t="shared" si="7"/>
        <v>-5.2901781330400396E-2</v>
      </c>
      <c r="I20" s="225">
        <v>323039.64</v>
      </c>
      <c r="J20" s="176">
        <v>380000</v>
      </c>
      <c r="K20" s="176">
        <f t="shared" si="3"/>
        <v>-350.34999999997672</v>
      </c>
      <c r="L20" s="174">
        <f t="shared" si="8"/>
        <v>-1.0833668661172126E-3</v>
      </c>
      <c r="M20" s="177">
        <f t="shared" si="0"/>
        <v>-56960.359999999986</v>
      </c>
      <c r="N20" s="188">
        <f t="shared" si="1"/>
        <v>-0.14989568421052629</v>
      </c>
      <c r="O20" s="177" t="b">
        <f t="shared" si="9"/>
        <v>0</v>
      </c>
      <c r="P20" s="188">
        <f>COUNTIF(O$2:O20, TRUE)/(COUNTIF(O$2:O20,FALSE) + COUNTIF(O$2:O20, TRUE))</f>
        <v>0.36842105263157893</v>
      </c>
      <c r="Q20" s="342"/>
      <c r="R20" s="342"/>
      <c r="S20" s="342"/>
      <c r="T20" s="342"/>
      <c r="U20" s="188">
        <f>STDEV(D$2:D20)*SQRT(252)</f>
        <v>0.33414073790213511</v>
      </c>
      <c r="V20" s="188">
        <f>STDEV(L$2:L20)*SQRT(252)</f>
        <v>0.40776589668846686</v>
      </c>
      <c r="W20" s="177">
        <f t="shared" si="4"/>
        <v>-0.36760230668590366</v>
      </c>
      <c r="X20" s="166"/>
      <c r="Y20" s="167"/>
      <c r="Z20" s="168"/>
      <c r="AA20" s="167"/>
      <c r="AB20" s="168"/>
      <c r="AC20" s="168"/>
      <c r="AD20" s="166"/>
      <c r="AE20" s="166"/>
      <c r="AF20" s="166"/>
      <c r="AG20" s="166"/>
    </row>
    <row r="21" spans="1:33" ht="20.100000000000001" customHeight="1" x14ac:dyDescent="0.25">
      <c r="A21" s="166"/>
      <c r="B21" s="170">
        <v>42261</v>
      </c>
      <c r="C21" s="204">
        <v>1953.03</v>
      </c>
      <c r="D21" s="174">
        <f t="shared" si="5"/>
        <v>-4.0896458529869114E-3</v>
      </c>
      <c r="E21" s="205">
        <f t="shared" si="6"/>
        <v>-7.1065048229676034E-2</v>
      </c>
      <c r="F21" s="221">
        <v>4805.76</v>
      </c>
      <c r="G21" s="174">
        <f t="shared" si="2"/>
        <v>-3.4381648743141147E-3</v>
      </c>
      <c r="H21" s="205">
        <f t="shared" si="7"/>
        <v>-5.6158061158355678E-2</v>
      </c>
      <c r="I21" s="224">
        <v>326015.75</v>
      </c>
      <c r="J21" s="172">
        <v>380000</v>
      </c>
      <c r="K21" s="172">
        <f t="shared" si="3"/>
        <v>2976.109999999986</v>
      </c>
      <c r="L21" s="174">
        <f t="shared" si="8"/>
        <v>9.2128322084558591E-3</v>
      </c>
      <c r="M21" s="171">
        <f t="shared" si="0"/>
        <v>-53984.25</v>
      </c>
      <c r="N21" s="187">
        <f t="shared" si="1"/>
        <v>-0.14206381578947369</v>
      </c>
      <c r="O21" s="171" t="b">
        <f t="shared" si="9"/>
        <v>1</v>
      </c>
      <c r="P21" s="187">
        <f>COUNTIF(O$2:O21, TRUE)/(COUNTIF(O$2:O21,FALSE) + COUNTIF(O$2:O21, TRUE))</f>
        <v>0.4</v>
      </c>
      <c r="Q21" s="341"/>
      <c r="R21" s="341"/>
      <c r="S21" s="341"/>
      <c r="T21" s="341"/>
      <c r="U21" s="187">
        <f>STDEV(D$2:D21)*SQRT(252)</f>
        <v>0.3247303591191491</v>
      </c>
      <c r="V21" s="187">
        <f>STDEV(L$2:L21)*SQRT(252)</f>
        <v>0.39882009643497413</v>
      </c>
      <c r="W21" s="171">
        <f t="shared" si="4"/>
        <v>-0.35621027390387933</v>
      </c>
      <c r="X21" s="166"/>
      <c r="Y21" s="167"/>
      <c r="Z21" s="168"/>
      <c r="AA21" s="167"/>
      <c r="AB21" s="168"/>
      <c r="AC21" s="168"/>
      <c r="AD21" s="166"/>
      <c r="AE21" s="166"/>
      <c r="AF21" s="166"/>
      <c r="AG21" s="166"/>
    </row>
    <row r="22" spans="1:33" ht="20.100000000000001" customHeight="1" x14ac:dyDescent="0.25">
      <c r="A22" s="178"/>
      <c r="B22" s="170">
        <v>42262</v>
      </c>
      <c r="C22" s="204">
        <v>1978.09</v>
      </c>
      <c r="D22" s="174">
        <f t="shared" si="5"/>
        <v>1.2831344116577803E-2</v>
      </c>
      <c r="E22" s="205">
        <f t="shared" si="6"/>
        <v>-5.9145564201594399E-2</v>
      </c>
      <c r="F22" s="221">
        <v>4860.5200000000004</v>
      </c>
      <c r="G22" s="174">
        <f t="shared" si="2"/>
        <v>1.1394659741643406E-2</v>
      </c>
      <c r="H22" s="205">
        <f t="shared" si="7"/>
        <v>-4.540330341536214E-2</v>
      </c>
      <c r="I22" s="224">
        <v>328528.74</v>
      </c>
      <c r="J22" s="172">
        <v>380000</v>
      </c>
      <c r="K22" s="172">
        <f t="shared" si="3"/>
        <v>2512.9899999999907</v>
      </c>
      <c r="L22" s="174">
        <f t="shared" si="8"/>
        <v>7.7081858775227595E-3</v>
      </c>
      <c r="M22" s="171">
        <f t="shared" si="0"/>
        <v>-51471.260000000009</v>
      </c>
      <c r="N22" s="187">
        <f t="shared" si="1"/>
        <v>-0.13545068421052633</v>
      </c>
      <c r="O22" s="171" t="b">
        <f t="shared" si="9"/>
        <v>0</v>
      </c>
      <c r="P22" s="187">
        <f>COUNTIF(O$2:O22, TRUE)/(COUNTIF(O$2:O22,FALSE) + COUNTIF(O$2:O22, TRUE))</f>
        <v>0.38095238095238093</v>
      </c>
      <c r="Q22" s="341"/>
      <c r="R22" s="341"/>
      <c r="S22" s="341"/>
      <c r="T22" s="341"/>
      <c r="U22" s="187">
        <f>STDEV(D$2:D22)*SQRT(252)</f>
        <v>0.32145355759875488</v>
      </c>
      <c r="V22" s="187">
        <f>STDEV(L$2:L22)*SQRT(252)</f>
        <v>0.38986525703766828</v>
      </c>
      <c r="W22" s="171">
        <f t="shared" si="4"/>
        <v>-0.34742948176436061</v>
      </c>
      <c r="X22" s="166"/>
      <c r="Y22" s="167"/>
      <c r="Z22" s="168"/>
      <c r="AA22" s="167"/>
      <c r="AB22" s="168"/>
      <c r="AC22" s="168"/>
      <c r="AD22" s="166"/>
      <c r="AE22" s="166"/>
      <c r="AF22" s="166"/>
      <c r="AG22" s="166"/>
    </row>
    <row r="23" spans="1:33" ht="20.100000000000001" customHeight="1" x14ac:dyDescent="0.25">
      <c r="A23" s="178"/>
      <c r="B23" s="170">
        <v>42263</v>
      </c>
      <c r="C23" s="204">
        <v>1995.31</v>
      </c>
      <c r="D23" s="174">
        <f t="shared" si="5"/>
        <v>8.7053672987579076E-3</v>
      </c>
      <c r="E23" s="205">
        <f t="shared" si="6"/>
        <v>-5.0955080763303642E-2</v>
      </c>
      <c r="F23" s="221">
        <v>4889.24</v>
      </c>
      <c r="G23" s="174">
        <f t="shared" si="2"/>
        <v>5.908832799782604E-3</v>
      </c>
      <c r="H23" s="205">
        <f t="shared" si="7"/>
        <v>-3.9762751144018706E-2</v>
      </c>
      <c r="I23" s="224">
        <v>333204.93</v>
      </c>
      <c r="J23" s="172">
        <v>380000</v>
      </c>
      <c r="K23" s="172">
        <f t="shared" si="3"/>
        <v>4676.1900000000023</v>
      </c>
      <c r="L23" s="174">
        <f t="shared" si="8"/>
        <v>1.4233731879895812E-2</v>
      </c>
      <c r="M23" s="171">
        <f t="shared" si="0"/>
        <v>-46795.070000000007</v>
      </c>
      <c r="N23" s="187">
        <f t="shared" si="1"/>
        <v>-0.1231449210526316</v>
      </c>
      <c r="O23" s="171" t="b">
        <f t="shared" si="9"/>
        <v>1</v>
      </c>
      <c r="P23" s="187">
        <f>COUNTIF(O$2:O23, TRUE)/(COUNTIF(O$2:O23,FALSE) + COUNTIF(O$2:O23, TRUE))</f>
        <v>0.40909090909090912</v>
      </c>
      <c r="Q23" s="341"/>
      <c r="R23" s="341"/>
      <c r="S23" s="341"/>
      <c r="T23" s="341"/>
      <c r="U23" s="187">
        <f>STDEV(D$2:D23)*SQRT(252)</f>
        <v>0.31586031332458192</v>
      </c>
      <c r="V23" s="187">
        <f>STDEV(L$2:L23)*SQRT(252)</f>
        <v>0.38411926521956707</v>
      </c>
      <c r="W23" s="171">
        <f t="shared" si="4"/>
        <v>-0.32059032754381772</v>
      </c>
      <c r="X23" s="166"/>
      <c r="Y23" s="167"/>
      <c r="Z23" s="168"/>
      <c r="AA23" s="167"/>
      <c r="AB23" s="168"/>
      <c r="AC23" s="168"/>
      <c r="AD23" s="166"/>
      <c r="AE23" s="166"/>
      <c r="AF23" s="166"/>
      <c r="AG23" s="166"/>
    </row>
    <row r="24" spans="1:33" ht="20.100000000000001" customHeight="1" x14ac:dyDescent="0.25">
      <c r="A24" s="178"/>
      <c r="B24" s="170">
        <v>42264</v>
      </c>
      <c r="C24" s="204">
        <v>1990.2</v>
      </c>
      <c r="D24" s="174">
        <f t="shared" si="5"/>
        <v>-2.5610055580335385E-3</v>
      </c>
      <c r="E24" s="205">
        <f t="shared" si="6"/>
        <v>-5.3385590076292309E-2</v>
      </c>
      <c r="F24" s="221">
        <v>4893.95</v>
      </c>
      <c r="G24" s="174">
        <f t="shared" si="2"/>
        <v>9.6333990558860607E-4</v>
      </c>
      <c r="H24" s="205">
        <f t="shared" si="7"/>
        <v>-3.8837716283363119E-2</v>
      </c>
      <c r="I24" s="224">
        <v>333913.03999999998</v>
      </c>
      <c r="J24" s="172">
        <v>380000</v>
      </c>
      <c r="K24" s="172">
        <f t="shared" si="3"/>
        <v>708.10999999998603</v>
      </c>
      <c r="L24" s="174">
        <f t="shared" si="8"/>
        <v>2.1251486285031439E-3</v>
      </c>
      <c r="M24" s="171">
        <f t="shared" si="0"/>
        <v>-46086.960000000021</v>
      </c>
      <c r="N24" s="187">
        <f t="shared" si="1"/>
        <v>-0.12128147368421058</v>
      </c>
      <c r="O24" s="171" t="b">
        <f t="shared" si="9"/>
        <v>1</v>
      </c>
      <c r="P24" s="187">
        <f>COUNTIF(O$2:O24, TRUE)/(COUNTIF(O$2:O24,FALSE) + COUNTIF(O$2:O24, TRUE))</f>
        <v>0.43478260869565216</v>
      </c>
      <c r="Q24" s="341"/>
      <c r="R24" s="341"/>
      <c r="S24" s="341"/>
      <c r="T24" s="341"/>
      <c r="U24" s="187">
        <f>STDEV(D$2:D24)*SQRT(252)</f>
        <v>0.30824938276419228</v>
      </c>
      <c r="V24" s="187">
        <f>STDEV(L$2:L24)*SQRT(252)</f>
        <v>0.37503116894241934</v>
      </c>
      <c r="W24" s="171">
        <f t="shared" si="4"/>
        <v>-0.32339038386121877</v>
      </c>
      <c r="X24" s="166"/>
      <c r="Y24" s="167"/>
      <c r="Z24" s="168"/>
      <c r="AA24" s="167"/>
      <c r="AB24" s="168"/>
      <c r="AC24" s="168"/>
      <c r="AD24" s="166"/>
      <c r="AE24" s="166"/>
      <c r="AF24" s="166"/>
      <c r="AG24" s="166"/>
    </row>
    <row r="25" spans="1:33" ht="20.100000000000001" customHeight="1" x14ac:dyDescent="0.25">
      <c r="A25" s="178"/>
      <c r="B25" s="170">
        <v>42265</v>
      </c>
      <c r="C25" s="204">
        <v>1958.08</v>
      </c>
      <c r="D25" s="174">
        <f t="shared" si="5"/>
        <v>-1.6139081499346859E-2</v>
      </c>
      <c r="E25" s="205">
        <f t="shared" si="6"/>
        <v>-6.866307718650716E-2</v>
      </c>
      <c r="F25" s="221">
        <v>4827.2299999999996</v>
      </c>
      <c r="G25" s="174">
        <f t="shared" si="2"/>
        <v>-1.3633159308942726E-2</v>
      </c>
      <c r="H25" s="205">
        <f t="shared" si="7"/>
        <v>-5.1941394819019243E-2</v>
      </c>
      <c r="I25" s="224">
        <v>334619.5</v>
      </c>
      <c r="J25" s="172">
        <v>390000</v>
      </c>
      <c r="K25" s="172">
        <f t="shared" si="3"/>
        <v>-9293.539999999979</v>
      </c>
      <c r="L25" s="174">
        <f t="shared" si="8"/>
        <v>-2.7832216435752195E-2</v>
      </c>
      <c r="M25" s="171">
        <f t="shared" si="0"/>
        <v>-55380.5</v>
      </c>
      <c r="N25" s="187">
        <f t="shared" si="1"/>
        <v>-0.14200128205128204</v>
      </c>
      <c r="O25" s="171" t="b">
        <f t="shared" si="9"/>
        <v>0</v>
      </c>
      <c r="P25" s="187">
        <f>COUNTIF(O$2:O25, TRUE)/(COUNTIF(O$2:O25,FALSE) + COUNTIF(O$2:O25, TRUE))</f>
        <v>0.41666666666666669</v>
      </c>
      <c r="Q25" s="341"/>
      <c r="R25" s="341"/>
      <c r="S25" s="341"/>
      <c r="T25" s="341"/>
      <c r="U25" s="187">
        <f>STDEV(D$2:D25)*SQRT(252)</f>
        <v>0.30462094080099172</v>
      </c>
      <c r="V25" s="187">
        <f>STDEV(L$2:L25)*SQRT(252)</f>
        <v>0.37697940519041084</v>
      </c>
      <c r="W25" s="171">
        <f t="shared" si="4"/>
        <v>-0.37668180302729731</v>
      </c>
      <c r="X25" s="166"/>
      <c r="Y25" s="167"/>
      <c r="Z25" s="168"/>
      <c r="AA25" s="167"/>
      <c r="AB25" s="168"/>
      <c r="AC25" s="168"/>
      <c r="AD25" s="166"/>
      <c r="AE25" s="166"/>
      <c r="AF25" s="166"/>
      <c r="AG25" s="166"/>
    </row>
    <row r="26" spans="1:33" ht="20.100000000000001" customHeight="1" x14ac:dyDescent="0.25">
      <c r="A26" s="178"/>
      <c r="B26" s="175">
        <v>42268</v>
      </c>
      <c r="C26" s="206">
        <v>1966.97</v>
      </c>
      <c r="D26" s="174">
        <f t="shared" si="5"/>
        <v>4.5401617911423947E-3</v>
      </c>
      <c r="E26" s="207">
        <f t="shared" si="6"/>
        <v>-6.4434656874869212E-2</v>
      </c>
      <c r="F26" s="222">
        <v>4828.95</v>
      </c>
      <c r="G26" s="174">
        <f t="shared" si="2"/>
        <v>3.5631200502156618E-4</v>
      </c>
      <c r="H26" s="207">
        <f t="shared" si="7"/>
        <v>-5.1603590156529253E-2</v>
      </c>
      <c r="I26" s="225">
        <v>336797.05</v>
      </c>
      <c r="J26" s="176">
        <v>390000</v>
      </c>
      <c r="K26" s="176">
        <f t="shared" si="3"/>
        <v>2177.5499999999884</v>
      </c>
      <c r="L26" s="174">
        <f t="shared" si="8"/>
        <v>6.5075406543850202E-3</v>
      </c>
      <c r="M26" s="177">
        <f t="shared" si="0"/>
        <v>-53202.950000000012</v>
      </c>
      <c r="N26" s="188">
        <f t="shared" si="1"/>
        <v>-0.13641782051282053</v>
      </c>
      <c r="O26" s="177" t="b">
        <f t="shared" si="9"/>
        <v>1</v>
      </c>
      <c r="P26" s="188">
        <f>COUNTIF(O$2:O26, TRUE)/(COUNTIF(O$2:O26,FALSE) + COUNTIF(O$2:O26, TRUE))</f>
        <v>0.44</v>
      </c>
      <c r="Q26" s="342"/>
      <c r="R26" s="342"/>
      <c r="S26" s="342"/>
      <c r="T26" s="342"/>
      <c r="U26" s="188">
        <f>STDEV(D$2:D26)*SQRT(252)</f>
        <v>0.29890210628506431</v>
      </c>
      <c r="V26" s="188">
        <f>STDEV(L$2:L26)*SQRT(252)</f>
        <v>0.36977509623053162</v>
      </c>
      <c r="W26" s="177">
        <f t="shared" si="4"/>
        <v>-0.36892106013481385</v>
      </c>
      <c r="X26" s="166"/>
      <c r="Y26" s="167"/>
      <c r="Z26" s="168"/>
      <c r="AA26" s="167"/>
      <c r="AB26" s="168"/>
      <c r="AC26" s="168"/>
      <c r="AD26" s="166"/>
      <c r="AE26" s="166"/>
      <c r="AF26" s="166"/>
      <c r="AG26" s="166"/>
    </row>
    <row r="27" spans="1:33" ht="20.100000000000001" customHeight="1" x14ac:dyDescent="0.25">
      <c r="A27" s="178"/>
      <c r="B27" s="175">
        <v>42269</v>
      </c>
      <c r="C27" s="206">
        <v>1942.74</v>
      </c>
      <c r="D27" s="174">
        <f t="shared" si="5"/>
        <v>-1.2318439020422282E-2</v>
      </c>
      <c r="E27" s="207">
        <f t="shared" si="6"/>
        <v>-7.5959361503776579E-2</v>
      </c>
      <c r="F27" s="222">
        <v>4756.72</v>
      </c>
      <c r="G27" s="174">
        <f t="shared" si="2"/>
        <v>-1.4957703020325239E-2</v>
      </c>
      <c r="H27" s="207">
        <f t="shared" si="7"/>
        <v>-6.578942200051055E-2</v>
      </c>
      <c r="I27" s="225">
        <v>328628.18</v>
      </c>
      <c r="J27" s="176">
        <v>390000</v>
      </c>
      <c r="K27" s="176">
        <f t="shared" si="3"/>
        <v>-8168.8699999999953</v>
      </c>
      <c r="L27" s="174">
        <f t="shared" si="8"/>
        <v>-2.4254577051669533E-2</v>
      </c>
      <c r="M27" s="177">
        <f t="shared" si="0"/>
        <v>-61371.820000000007</v>
      </c>
      <c r="N27" s="188">
        <f t="shared" si="1"/>
        <v>-0.15736364102564104</v>
      </c>
      <c r="O27" s="177" t="b">
        <f t="shared" si="9"/>
        <v>0</v>
      </c>
      <c r="P27" s="188">
        <f>COUNTIF(O$2:O27, TRUE)/(COUNTIF(O$2:O27,FALSE) + COUNTIF(O$2:O27, TRUE))</f>
        <v>0.42307692307692307</v>
      </c>
      <c r="Q27" s="342"/>
      <c r="R27" s="342"/>
      <c r="S27" s="342"/>
      <c r="T27" s="342"/>
      <c r="U27" s="188">
        <f>STDEV(D$2:D27)*SQRT(252)</f>
        <v>0.29423063039577757</v>
      </c>
      <c r="V27" s="188">
        <f>STDEV(L$2:L27)*SQRT(252)</f>
        <v>0.36891081336097858</v>
      </c>
      <c r="W27" s="177">
        <f t="shared" si="4"/>
        <v>-0.42656283124902872</v>
      </c>
      <c r="X27" s="166"/>
      <c r="Y27" s="167"/>
      <c r="Z27" s="168"/>
      <c r="AA27" s="167"/>
      <c r="AB27" s="168"/>
      <c r="AC27" s="168"/>
      <c r="AD27" s="166"/>
      <c r="AE27" s="166"/>
      <c r="AF27" s="166"/>
      <c r="AG27" s="166"/>
    </row>
    <row r="28" spans="1:33" ht="20.100000000000001" customHeight="1" x14ac:dyDescent="0.25">
      <c r="A28" s="178"/>
      <c r="B28" s="175">
        <v>42270</v>
      </c>
      <c r="C28" s="206">
        <v>1938.76</v>
      </c>
      <c r="D28" s="174">
        <f t="shared" si="5"/>
        <v>-2.0486529334857047E-3</v>
      </c>
      <c r="E28" s="207">
        <f t="shared" si="6"/>
        <v>-7.7852400068491881E-2</v>
      </c>
      <c r="F28" s="222">
        <v>4752.74</v>
      </c>
      <c r="G28" s="174">
        <f t="shared" si="2"/>
        <v>-8.3671101094882037E-4</v>
      </c>
      <c r="H28" s="207">
        <f t="shared" si="7"/>
        <v>-6.6571086277667585E-2</v>
      </c>
      <c r="I28" s="225">
        <v>321819.21000000002</v>
      </c>
      <c r="J28" s="176">
        <v>390000</v>
      </c>
      <c r="K28" s="176">
        <f t="shared" si="3"/>
        <v>-6808.9699999999721</v>
      </c>
      <c r="L28" s="174">
        <f t="shared" si="8"/>
        <v>-2.0719373487690471E-2</v>
      </c>
      <c r="M28" s="177">
        <f t="shared" si="0"/>
        <v>-68180.789999999979</v>
      </c>
      <c r="N28" s="188">
        <f t="shared" si="1"/>
        <v>-0.17482253846153842</v>
      </c>
      <c r="O28" s="177" t="b">
        <f t="shared" si="9"/>
        <v>0</v>
      </c>
      <c r="P28" s="188">
        <f>COUNTIF(O$2:O28, TRUE)/(COUNTIF(O$2:O28,FALSE) + COUNTIF(O$2:O28, TRUE))</f>
        <v>0.40740740740740738</v>
      </c>
      <c r="Q28" s="342"/>
      <c r="R28" s="342"/>
      <c r="S28" s="342"/>
      <c r="T28" s="342"/>
      <c r="U28" s="188">
        <f>STDEV(D$2:D28)*SQRT(252)</f>
        <v>0.288300857286579</v>
      </c>
      <c r="V28" s="188">
        <f>STDEV(L$2:L28)*SQRT(252)</f>
        <v>0.36576166417456935</v>
      </c>
      <c r="W28" s="177">
        <f t="shared" si="4"/>
        <v>-0.47796845756393919</v>
      </c>
      <c r="X28" s="167"/>
      <c r="Y28" s="168"/>
      <c r="Z28" s="168"/>
      <c r="AA28" s="166"/>
      <c r="AB28" s="166"/>
      <c r="AC28" s="166"/>
      <c r="AD28" s="166"/>
    </row>
    <row r="29" spans="1:33" ht="20.100000000000001" customHeight="1" x14ac:dyDescent="0.25">
      <c r="A29" s="178"/>
      <c r="B29" s="175">
        <v>42271</v>
      </c>
      <c r="C29" s="206">
        <v>1932.24</v>
      </c>
      <c r="D29" s="174">
        <f t="shared" si="5"/>
        <v>-3.3629742722152212E-3</v>
      </c>
      <c r="E29" s="207">
        <f t="shared" si="6"/>
        <v>-8.0953558722246549E-2</v>
      </c>
      <c r="F29" s="222">
        <v>4734.4799999999996</v>
      </c>
      <c r="G29" s="174">
        <f t="shared" si="2"/>
        <v>-3.8419943022341258E-3</v>
      </c>
      <c r="H29" s="207">
        <f t="shared" si="7"/>
        <v>-7.0157314845729374E-2</v>
      </c>
      <c r="I29" s="226">
        <v>323446.15999999997</v>
      </c>
      <c r="J29" s="176">
        <v>390000</v>
      </c>
      <c r="K29" s="176">
        <f t="shared" ref="K29:K49" si="10">I29-I28-J29+J28</f>
        <v>1626.9499999999534</v>
      </c>
      <c r="L29" s="174">
        <f t="shared" si="8"/>
        <v>5.0554781984579267E-3</v>
      </c>
      <c r="M29" s="177">
        <f t="shared" si="0"/>
        <v>-66553.840000000026</v>
      </c>
      <c r="N29" s="188">
        <f t="shared" si="1"/>
        <v>-0.17065087179487187</v>
      </c>
      <c r="O29" s="177" t="b">
        <f t="shared" si="9"/>
        <v>1</v>
      </c>
      <c r="P29" s="188">
        <f>COUNTIF(O$2:O29, TRUE)/(COUNTIF(O$2:O29,FALSE) + COUNTIF(O$2:O29, TRUE))</f>
        <v>0.42857142857142855</v>
      </c>
      <c r="Q29" s="342"/>
      <c r="R29" s="342"/>
      <c r="S29" s="342"/>
      <c r="T29" s="342"/>
      <c r="U29" s="188">
        <f>STDEV(D$2:D29)*SQRT(252)</f>
        <v>0.28270501442194107</v>
      </c>
      <c r="V29" s="188">
        <f>STDEV(L$2:L29)*SQRT(252)</f>
        <v>0.35959656379312804</v>
      </c>
      <c r="W29" s="177">
        <f t="shared" si="4"/>
        <v>-0.47456202026737232</v>
      </c>
      <c r="X29" s="167"/>
      <c r="Y29" s="168"/>
      <c r="Z29" s="168"/>
      <c r="AA29" s="166"/>
      <c r="AB29" s="166"/>
      <c r="AC29" s="166"/>
      <c r="AD29" s="166"/>
    </row>
    <row r="30" spans="1:33" ht="20.100000000000001" customHeight="1" x14ac:dyDescent="0.25">
      <c r="A30" s="178"/>
      <c r="B30" s="175">
        <v>42272</v>
      </c>
      <c r="C30" s="206">
        <v>1931.34</v>
      </c>
      <c r="D30" s="174">
        <f t="shared" si="5"/>
        <v>-4.6578064836670961E-4</v>
      </c>
      <c r="E30" s="207">
        <f t="shared" si="6"/>
        <v>-8.1381632769544021E-2</v>
      </c>
      <c r="F30" s="222">
        <v>4686.5</v>
      </c>
      <c r="G30" s="174">
        <f t="shared" si="2"/>
        <v>-1.0134164681232061E-2</v>
      </c>
      <c r="H30" s="207">
        <f t="shared" si="7"/>
        <v>-7.9580493744721773E-2</v>
      </c>
      <c r="I30" s="225">
        <v>320711.92</v>
      </c>
      <c r="J30" s="176">
        <v>390000</v>
      </c>
      <c r="K30" s="176">
        <f t="shared" si="10"/>
        <v>-2734.2399999999907</v>
      </c>
      <c r="L30" s="174">
        <f t="shared" si="8"/>
        <v>-8.4534625484500754E-3</v>
      </c>
      <c r="M30" s="177">
        <f t="shared" ref="M30:M61" si="11">I30-J30</f>
        <v>-69288.080000000016</v>
      </c>
      <c r="N30" s="188">
        <f t="shared" ref="N30:N61" si="12">M30/J30</f>
        <v>-0.17766174358974363</v>
      </c>
      <c r="O30" s="177" t="b">
        <f t="shared" si="9"/>
        <v>0</v>
      </c>
      <c r="P30" s="188">
        <f>COUNTIF(O$2:O30, TRUE)/(COUNTIF(O$2:O30,FALSE) + COUNTIF(O$2:O30, TRUE))</f>
        <v>0.41379310344827586</v>
      </c>
      <c r="Q30" s="342"/>
      <c r="R30" s="342"/>
      <c r="S30" s="342"/>
      <c r="T30" s="342"/>
      <c r="U30" s="188">
        <f>STDEV(D$2:D30)*SQRT(252)</f>
        <v>0.27752195461786261</v>
      </c>
      <c r="V30" s="188">
        <f>STDEV(L$2:L30)*SQRT(252)</f>
        <v>0.35323644241397795</v>
      </c>
      <c r="W30" s="177">
        <f t="shared" si="4"/>
        <v>-0.50295417532693776</v>
      </c>
      <c r="X30" s="167"/>
      <c r="Y30" s="168"/>
      <c r="Z30" s="168"/>
      <c r="AA30" s="166"/>
      <c r="AB30" s="166"/>
      <c r="AC30" s="166"/>
      <c r="AD30" s="166"/>
    </row>
    <row r="31" spans="1:33" ht="20.100000000000001" customHeight="1" x14ac:dyDescent="0.25">
      <c r="A31" s="178"/>
      <c r="B31" s="170">
        <v>42275</v>
      </c>
      <c r="C31" s="204">
        <v>1881.77</v>
      </c>
      <c r="D31" s="174">
        <f t="shared" si="5"/>
        <v>-2.5666117824929811E-2</v>
      </c>
      <c r="E31" s="205">
        <f t="shared" si="6"/>
        <v>-0.10495900001902554</v>
      </c>
      <c r="F31" s="221">
        <v>4543.97</v>
      </c>
      <c r="G31" s="174">
        <f t="shared" si="2"/>
        <v>-3.041288808279094E-2</v>
      </c>
      <c r="H31" s="205">
        <f t="shared" si="7"/>
        <v>-0.10757310917768124</v>
      </c>
      <c r="I31" s="224">
        <v>308867.92</v>
      </c>
      <c r="J31" s="172">
        <v>390000</v>
      </c>
      <c r="K31" s="172">
        <f t="shared" si="10"/>
        <v>-11844</v>
      </c>
      <c r="L31" s="174">
        <f t="shared" si="8"/>
        <v>-3.693033922780295E-2</v>
      </c>
      <c r="M31" s="171">
        <f t="shared" si="11"/>
        <v>-81132.080000000016</v>
      </c>
      <c r="N31" s="187">
        <f t="shared" si="12"/>
        <v>-0.20803097435897441</v>
      </c>
      <c r="O31" s="171" t="b">
        <f t="shared" si="9"/>
        <v>0</v>
      </c>
      <c r="P31" s="187">
        <f>COUNTIF(O$2:O31, TRUE)/(COUNTIF(O$2:O31,FALSE) + COUNTIF(O$2:O31, TRUE))</f>
        <v>0.4</v>
      </c>
      <c r="Q31" s="341"/>
      <c r="R31" s="341"/>
      <c r="S31" s="341"/>
      <c r="T31" s="341"/>
      <c r="U31" s="187">
        <f>STDEV(D$2:D31)*SQRT(252)</f>
        <v>0.28067725027853285</v>
      </c>
      <c r="V31" s="187">
        <f>STDEV(L$2:L31)*SQRT(252)</f>
        <v>0.36074758156117998</v>
      </c>
      <c r="W31" s="171">
        <f t="shared" si="4"/>
        <v>-0.57666630350976855</v>
      </c>
      <c r="X31" s="167"/>
      <c r="Y31" s="168"/>
      <c r="Z31" s="168"/>
      <c r="AA31" s="166"/>
      <c r="AB31" s="166"/>
      <c r="AC31" s="166"/>
      <c r="AD31" s="166"/>
    </row>
    <row r="32" spans="1:33" ht="20.100000000000001" customHeight="1" x14ac:dyDescent="0.25">
      <c r="A32" s="178"/>
      <c r="B32" s="170">
        <v>42276</v>
      </c>
      <c r="C32" s="204">
        <v>1884.09</v>
      </c>
      <c r="D32" s="174">
        <f t="shared" si="5"/>
        <v>1.2328818080849075E-3</v>
      </c>
      <c r="E32" s="205">
        <f t="shared" si="6"/>
        <v>-0.10385552025265887</v>
      </c>
      <c r="F32" s="221">
        <v>4517.32</v>
      </c>
      <c r="G32" s="174">
        <f t="shared" si="2"/>
        <v>-5.8649154813963439E-3</v>
      </c>
      <c r="H32" s="205">
        <f t="shared" si="7"/>
        <v>-0.11280711746567947</v>
      </c>
      <c r="I32" s="224">
        <v>312033</v>
      </c>
      <c r="J32" s="172">
        <v>390000</v>
      </c>
      <c r="K32" s="172">
        <f t="shared" si="10"/>
        <v>3165.0800000000163</v>
      </c>
      <c r="L32" s="174">
        <f t="shared" si="8"/>
        <v>1.0247357511262472E-2</v>
      </c>
      <c r="M32" s="171">
        <f t="shared" si="11"/>
        <v>-77967</v>
      </c>
      <c r="N32" s="187">
        <f t="shared" si="12"/>
        <v>-0.19991538461538461</v>
      </c>
      <c r="O32" s="171" t="b">
        <f t="shared" si="9"/>
        <v>1</v>
      </c>
      <c r="P32" s="187">
        <f>COUNTIF(O$2:O32, TRUE)/(COUNTIF(O$2:O32,FALSE) + COUNTIF(O$2:O32, TRUE))</f>
        <v>0.41935483870967744</v>
      </c>
      <c r="Q32" s="341"/>
      <c r="R32" s="341"/>
      <c r="S32" s="341"/>
      <c r="T32" s="341"/>
      <c r="U32" s="187">
        <f>STDEV(D$2:D32)*SQRT(252)</f>
        <v>0.27616064910345123</v>
      </c>
      <c r="V32" s="187">
        <f>STDEV(L$2:L32)*SQRT(252)</f>
        <v>0.35703191736213136</v>
      </c>
      <c r="W32" s="171">
        <f t="shared" si="4"/>
        <v>-0.55993701093287374</v>
      </c>
      <c r="X32" s="167"/>
      <c r="Y32" s="168"/>
      <c r="Z32" s="168"/>
      <c r="AA32" s="166"/>
      <c r="AB32" s="166"/>
      <c r="AC32" s="166"/>
      <c r="AD32" s="166"/>
    </row>
    <row r="33" spans="1:30" ht="20.100000000000001" customHeight="1" x14ac:dyDescent="0.25">
      <c r="A33" s="178"/>
      <c r="B33" s="170">
        <v>42277</v>
      </c>
      <c r="C33" s="204">
        <v>1920.03</v>
      </c>
      <c r="D33" s="174">
        <f t="shared" si="5"/>
        <v>1.9075521869974393E-2</v>
      </c>
      <c r="E33" s="205">
        <f t="shared" si="6"/>
        <v>-8.6761096630581652E-2</v>
      </c>
      <c r="F33" s="221">
        <v>4620.16</v>
      </c>
      <c r="G33" s="174">
        <f t="shared" si="2"/>
        <v>2.2765710642593431E-2</v>
      </c>
      <c r="H33" s="205">
        <f t="shared" si="7"/>
        <v>-9.2609541017734748E-2</v>
      </c>
      <c r="I33" s="487">
        <v>320653.48</v>
      </c>
      <c r="J33" s="172">
        <v>390000</v>
      </c>
      <c r="K33" s="172">
        <f t="shared" si="10"/>
        <v>8620.4799999999814</v>
      </c>
      <c r="L33" s="174">
        <f t="shared" si="8"/>
        <v>2.762682152208254E-2</v>
      </c>
      <c r="M33" s="171">
        <f t="shared" si="11"/>
        <v>-69346.520000000019</v>
      </c>
      <c r="N33" s="187">
        <f t="shared" si="12"/>
        <v>-0.17781158974358979</v>
      </c>
      <c r="O33" s="171" t="b">
        <f t="shared" si="9"/>
        <v>1</v>
      </c>
      <c r="P33" s="187">
        <f>COUNTIF(O$2:O33, TRUE)/(COUNTIF(O$2:O33,FALSE) + COUNTIF(O$2:O33, TRUE))</f>
        <v>0.4375</v>
      </c>
      <c r="Q33" s="341"/>
      <c r="R33" s="341"/>
      <c r="S33" s="341"/>
      <c r="T33" s="341"/>
      <c r="U33" s="187">
        <f>STDEV(D$2:D33)*SQRT(252)</f>
        <v>0.27904525871697899</v>
      </c>
      <c r="V33" s="187">
        <f>STDEV(L$2:L33)*SQRT(252)</f>
        <v>0.36241608593546876</v>
      </c>
      <c r="W33" s="171">
        <f t="shared" si="4"/>
        <v>-0.49062830443803934</v>
      </c>
      <c r="X33" s="167"/>
      <c r="Y33" s="168"/>
      <c r="Z33" s="168"/>
      <c r="AA33" s="166"/>
      <c r="AB33" s="166"/>
      <c r="AC33" s="166"/>
      <c r="AD33" s="166"/>
    </row>
    <row r="34" spans="1:30" ht="20.100000000000001" customHeight="1" x14ac:dyDescent="0.25">
      <c r="B34" s="170">
        <v>42278</v>
      </c>
      <c r="C34" s="204">
        <v>1923.82</v>
      </c>
      <c r="D34" s="174">
        <f t="shared" si="5"/>
        <v>1.9739274907162718E-3</v>
      </c>
      <c r="E34" s="205">
        <f t="shared" si="6"/>
        <v>-8.4958429253629175E-2</v>
      </c>
      <c r="F34" s="221">
        <v>4627.08</v>
      </c>
      <c r="G34" s="174">
        <f t="shared" si="2"/>
        <v>1.497783626541088E-3</v>
      </c>
      <c r="H34" s="205">
        <f t="shared" si="7"/>
        <v>-9.1250466445391504E-2</v>
      </c>
      <c r="I34" s="224">
        <v>321963.56</v>
      </c>
      <c r="J34" s="172">
        <v>390000</v>
      </c>
      <c r="K34" s="172">
        <f t="shared" si="10"/>
        <v>1310.0800000000163</v>
      </c>
      <c r="L34" s="174">
        <f t="shared" si="8"/>
        <v>4.0856565785595605E-3</v>
      </c>
      <c r="M34" s="171">
        <f t="shared" si="11"/>
        <v>-68036.44</v>
      </c>
      <c r="N34" s="187">
        <f t="shared" si="12"/>
        <v>-0.17445241025641026</v>
      </c>
      <c r="O34" s="171" t="b">
        <f t="shared" si="9"/>
        <v>1</v>
      </c>
      <c r="P34" s="187">
        <f>COUNTIF(O$2:O34, TRUE)/(COUNTIF(O$2:O34,FALSE) + COUNTIF(O$2:O34, TRUE))</f>
        <v>0.45454545454545453</v>
      </c>
      <c r="Q34" s="341"/>
      <c r="R34" s="341"/>
      <c r="S34" s="341"/>
      <c r="T34" s="341"/>
      <c r="U34" s="187">
        <f>STDEV(D$2:D34)*SQRT(252)</f>
        <v>0.27483074679675301</v>
      </c>
      <c r="V34" s="187">
        <f>STDEV(L$2:L34)*SQRT(252)</f>
        <v>0.35707118458821713</v>
      </c>
      <c r="W34" s="171">
        <f t="shared" si="4"/>
        <v>-0.48856479544153886</v>
      </c>
    </row>
    <row r="35" spans="1:30" ht="20.100000000000001" customHeight="1" x14ac:dyDescent="0.25">
      <c r="B35" s="170">
        <v>42279</v>
      </c>
      <c r="C35" s="204">
        <v>1951.36</v>
      </c>
      <c r="D35" s="174">
        <f t="shared" si="5"/>
        <v>1.4315268580220584E-2</v>
      </c>
      <c r="E35" s="205">
        <f t="shared" si="6"/>
        <v>-7.1859363406327953E-2</v>
      </c>
      <c r="F35" s="221">
        <v>4707.78</v>
      </c>
      <c r="G35" s="174">
        <f t="shared" si="2"/>
        <v>1.7440805000129633E-2</v>
      </c>
      <c r="H35" s="205">
        <f t="shared" si="7"/>
        <v>-7.5401143036706808E-2</v>
      </c>
      <c r="I35" s="224">
        <v>336327.01</v>
      </c>
      <c r="J35" s="172">
        <v>390000</v>
      </c>
      <c r="K35" s="172">
        <f t="shared" si="10"/>
        <v>14363.450000000012</v>
      </c>
      <c r="L35" s="174">
        <f t="shared" si="8"/>
        <v>4.4612036219254164E-2</v>
      </c>
      <c r="M35" s="171">
        <f t="shared" si="11"/>
        <v>-53672.989999999991</v>
      </c>
      <c r="N35" s="187">
        <f t="shared" si="12"/>
        <v>-0.13762305128205127</v>
      </c>
      <c r="O35" s="171" t="b">
        <f t="shared" si="9"/>
        <v>1</v>
      </c>
      <c r="P35" s="187">
        <f>COUNTIF(O$2:O35, TRUE)/(COUNTIF(O$2:O35,FALSE) + COUNTIF(O$2:O35, TRUE))</f>
        <v>0.47058823529411764</v>
      </c>
      <c r="Q35" s="341"/>
      <c r="R35" s="341"/>
      <c r="S35" s="341"/>
      <c r="T35" s="341"/>
      <c r="U35" s="187">
        <f>STDEV(D$2:D35)*SQRT(252)</f>
        <v>0.27452334333609368</v>
      </c>
      <c r="V35" s="187">
        <f>STDEV(L$2:L35)*SQRT(252)</f>
        <v>0.37502060427916972</v>
      </c>
      <c r="W35" s="171">
        <f t="shared" si="4"/>
        <v>-0.36697464009098302</v>
      </c>
    </row>
    <row r="36" spans="1:30" ht="20.100000000000001" customHeight="1" x14ac:dyDescent="0.25">
      <c r="B36" s="175">
        <v>42282</v>
      </c>
      <c r="C36" s="206">
        <v>1987.05</v>
      </c>
      <c r="D36" s="174">
        <f t="shared" si="5"/>
        <v>1.8289808133814395E-2</v>
      </c>
      <c r="E36" s="207">
        <f t="shared" si="6"/>
        <v>-5.4883849241833343E-2</v>
      </c>
      <c r="F36" s="222">
        <v>4781.26</v>
      </c>
      <c r="G36" s="174">
        <f t="shared" si="2"/>
        <v>1.5608205990934257E-2</v>
      </c>
      <c r="H36" s="207">
        <f t="shared" si="7"/>
        <v>-6.0969813618241372E-2</v>
      </c>
      <c r="I36" s="225">
        <v>348049.53</v>
      </c>
      <c r="J36" s="176">
        <v>390000</v>
      </c>
      <c r="K36" s="176">
        <f t="shared" si="10"/>
        <v>11722.520000000019</v>
      </c>
      <c r="L36" s="174">
        <f t="shared" si="8"/>
        <v>3.4854530416691835E-2</v>
      </c>
      <c r="M36" s="177">
        <f t="shared" si="11"/>
        <v>-41950.469999999972</v>
      </c>
      <c r="N36" s="188">
        <f t="shared" si="12"/>
        <v>-0.10756530769230763</v>
      </c>
      <c r="O36" s="177" t="b">
        <f t="shared" si="9"/>
        <v>1</v>
      </c>
      <c r="P36" s="188">
        <f>COUNTIF(O$2:O36, TRUE)/(COUNTIF(O$2:O36,FALSE) + COUNTIF(O$2:O36, TRUE))</f>
        <v>0.48571428571428571</v>
      </c>
      <c r="Q36" s="342"/>
      <c r="R36" s="342"/>
      <c r="S36" s="342"/>
      <c r="T36" s="342"/>
      <c r="U36" s="188">
        <f>STDEV(D$2:D36)*SQRT(252)</f>
        <v>0.27597887919090974</v>
      </c>
      <c r="V36" s="188">
        <f>STDEV(L$2:L36)*SQRT(252)</f>
        <v>0.38219304301343621</v>
      </c>
      <c r="W36" s="177">
        <f t="shared" si="4"/>
        <v>-0.28144234872565721</v>
      </c>
    </row>
    <row r="37" spans="1:30" ht="20.100000000000001" customHeight="1" x14ac:dyDescent="0.25">
      <c r="B37" s="175">
        <v>42283</v>
      </c>
      <c r="C37" s="206">
        <v>1979.92</v>
      </c>
      <c r="D37" s="174">
        <f t="shared" si="5"/>
        <v>-3.5882338139452364E-3</v>
      </c>
      <c r="E37" s="207">
        <f t="shared" si="6"/>
        <v>-5.8275146972089562E-2</v>
      </c>
      <c r="F37" s="222">
        <v>4748.3599999999997</v>
      </c>
      <c r="G37" s="174">
        <f t="shared" si="2"/>
        <v>-6.8810313599345242E-3</v>
      </c>
      <c r="H37" s="207">
        <f t="shared" si="7"/>
        <v>-6.7431309778659423E-2</v>
      </c>
      <c r="I37" s="225">
        <v>349442.62</v>
      </c>
      <c r="J37" s="176">
        <v>390000</v>
      </c>
      <c r="K37" s="176">
        <f t="shared" si="10"/>
        <v>1393.0899999999674</v>
      </c>
      <c r="L37" s="174">
        <f t="shared" si="8"/>
        <v>4.0025625088474254E-3</v>
      </c>
      <c r="M37" s="177">
        <f t="shared" si="11"/>
        <v>-40557.380000000005</v>
      </c>
      <c r="N37" s="188">
        <f t="shared" si="12"/>
        <v>-0.10399328205128207</v>
      </c>
      <c r="O37" s="177" t="b">
        <f t="shared" si="9"/>
        <v>1</v>
      </c>
      <c r="P37" s="188">
        <f>COUNTIF(O$2:O37, TRUE)/(COUNTIF(O$2:O37,FALSE) + COUNTIF(O$2:O37, TRUE))</f>
        <v>0.5</v>
      </c>
      <c r="Q37" s="342"/>
      <c r="R37" s="342"/>
      <c r="S37" s="342"/>
      <c r="T37" s="342"/>
      <c r="U37" s="188">
        <f>STDEV(D$2:D37)*SQRT(252)</f>
        <v>0.27194715501453054</v>
      </c>
      <c r="V37" s="188">
        <f>STDEV(L$2:L37)*SQRT(252)</f>
        <v>0.37670306697854899</v>
      </c>
      <c r="W37" s="177">
        <f t="shared" si="4"/>
        <v>-0.27606168138048071</v>
      </c>
    </row>
    <row r="38" spans="1:30" ht="20.100000000000001" customHeight="1" x14ac:dyDescent="0.25">
      <c r="B38" s="175">
        <v>42284</v>
      </c>
      <c r="C38" s="206">
        <v>1995.83</v>
      </c>
      <c r="D38" s="174">
        <f t="shared" si="5"/>
        <v>8.0356782092205013E-3</v>
      </c>
      <c r="E38" s="207">
        <f t="shared" si="6"/>
        <v>-5.0707749091531806E-2</v>
      </c>
      <c r="F38" s="222">
        <v>4791.1499999999996</v>
      </c>
      <c r="G38" s="174">
        <f t="shared" si="2"/>
        <v>9.0115324027664218E-3</v>
      </c>
      <c r="H38" s="207">
        <f t="shared" si="7"/>
        <v>-5.9027436808924368E-2</v>
      </c>
      <c r="I38" s="225">
        <v>351672.29</v>
      </c>
      <c r="J38" s="176">
        <v>390000</v>
      </c>
      <c r="K38" s="176">
        <f t="shared" si="10"/>
        <v>2229.6699999999837</v>
      </c>
      <c r="L38" s="174">
        <f t="shared" si="8"/>
        <v>6.3806469857625942E-3</v>
      </c>
      <c r="M38" s="177">
        <f t="shared" si="11"/>
        <v>-38327.710000000021</v>
      </c>
      <c r="N38" s="188">
        <f t="shared" si="12"/>
        <v>-9.8276179487179538E-2</v>
      </c>
      <c r="O38" s="177" t="b">
        <f t="shared" si="9"/>
        <v>0</v>
      </c>
      <c r="P38" s="188">
        <f>COUNTIF(O$2:O38, TRUE)/(COUNTIF(O$2:O38,FALSE) + COUNTIF(O$2:O38, TRUE))</f>
        <v>0.48648648648648651</v>
      </c>
      <c r="Q38" s="342"/>
      <c r="R38" s="342"/>
      <c r="S38" s="342"/>
      <c r="T38" s="342"/>
      <c r="U38" s="188">
        <f>STDEV(D$2:D38)*SQRT(252)</f>
        <v>0.26923649970087526</v>
      </c>
      <c r="V38" s="188">
        <f>STDEV(L$2:L38)*SQRT(252)</f>
        <v>0.37168118749449619</v>
      </c>
      <c r="W38" s="177">
        <f t="shared" si="4"/>
        <v>-0.26440988350704403</v>
      </c>
    </row>
    <row r="39" spans="1:30" ht="20.100000000000001" customHeight="1" x14ac:dyDescent="0.25">
      <c r="B39" s="175">
        <v>42285</v>
      </c>
      <c r="C39" s="206">
        <v>2013.43</v>
      </c>
      <c r="D39" s="174">
        <f t="shared" si="5"/>
        <v>8.8183863355096054E-3</v>
      </c>
      <c r="E39" s="207">
        <f t="shared" si="6"/>
        <v>-4.2336523277715414E-2</v>
      </c>
      <c r="F39" s="222">
        <v>4810.79</v>
      </c>
      <c r="G39" s="174">
        <f t="shared" si="2"/>
        <v>4.0992246120451934E-3</v>
      </c>
      <c r="H39" s="207">
        <f t="shared" si="7"/>
        <v>-5.5170178918632254E-2</v>
      </c>
      <c r="I39" s="225">
        <v>354527.57</v>
      </c>
      <c r="J39" s="176">
        <v>390000</v>
      </c>
      <c r="K39" s="176">
        <f t="shared" si="10"/>
        <v>2855.2800000000279</v>
      </c>
      <c r="L39" s="174">
        <f t="shared" si="8"/>
        <v>8.119149791415264E-3</v>
      </c>
      <c r="M39" s="177">
        <f t="shared" si="11"/>
        <v>-35472.429999999993</v>
      </c>
      <c r="N39" s="188">
        <f t="shared" si="12"/>
        <v>-9.0954948717948694E-2</v>
      </c>
      <c r="O39" s="177" t="b">
        <f t="shared" si="9"/>
        <v>0</v>
      </c>
      <c r="P39" s="188">
        <f>COUNTIF(O$2:O39, TRUE)/(COUNTIF(O$2:O39,FALSE) + COUNTIF(O$2:O39, TRUE))</f>
        <v>0.47368421052631576</v>
      </c>
      <c r="Q39" s="342"/>
      <c r="R39" s="342"/>
      <c r="S39" s="342"/>
      <c r="T39" s="342"/>
      <c r="U39" s="188">
        <f>STDEV(D$2:D39)*SQRT(252)</f>
        <v>0.26678199068533232</v>
      </c>
      <c r="V39" s="188">
        <f>STDEV(L$2:L39)*SQRT(252)</f>
        <v>0.36708606132795213</v>
      </c>
      <c r="W39" s="177">
        <f t="shared" si="4"/>
        <v>-0.24777554448380479</v>
      </c>
    </row>
    <row r="40" spans="1:30" ht="20.100000000000001" customHeight="1" x14ac:dyDescent="0.25">
      <c r="B40" s="175">
        <v>42286</v>
      </c>
      <c r="C40" s="206">
        <v>2014.89</v>
      </c>
      <c r="D40" s="174">
        <f t="shared" si="5"/>
        <v>7.2513074703368691E-4</v>
      </c>
      <c r="E40" s="207">
        <f t="shared" si="6"/>
        <v>-4.1642092045432906E-2</v>
      </c>
      <c r="F40" s="222">
        <v>4830.47</v>
      </c>
      <c r="G40" s="174">
        <f t="shared" si="2"/>
        <v>4.0908042130295211E-3</v>
      </c>
      <c r="H40" s="207">
        <f t="shared" si="7"/>
        <v>-5.1305065105956671E-2</v>
      </c>
      <c r="I40" s="225">
        <v>351691.92</v>
      </c>
      <c r="J40" s="176">
        <v>390000</v>
      </c>
      <c r="K40" s="176">
        <f t="shared" si="10"/>
        <v>-2835.6500000000233</v>
      </c>
      <c r="L40" s="174">
        <f t="shared" si="8"/>
        <v>-7.9983906470236527E-3</v>
      </c>
      <c r="M40" s="245">
        <f t="shared" si="11"/>
        <v>-38308.080000000016</v>
      </c>
      <c r="N40" s="188">
        <f t="shared" si="12"/>
        <v>-9.8225846153846191E-2</v>
      </c>
      <c r="O40" s="245" t="b">
        <f t="shared" si="9"/>
        <v>0</v>
      </c>
      <c r="P40" s="188">
        <f>COUNTIF(O$2:O40, TRUE)/(COUNTIF(O$2:O40,FALSE) + COUNTIF(O$2:O40, TRUE))</f>
        <v>0.46153846153846156</v>
      </c>
      <c r="Q40" s="342"/>
      <c r="R40" s="342"/>
      <c r="S40" s="342"/>
      <c r="T40" s="342"/>
      <c r="U40" s="188">
        <f>STDEV(D$2:D40)*SQRT(252)</f>
        <v>0.26319098013674441</v>
      </c>
      <c r="V40" s="188">
        <f>STDEV(L$2:L40)*SQRT(252)</f>
        <v>0.36271772022566956</v>
      </c>
      <c r="W40" s="245">
        <f t="shared" si="4"/>
        <v>-0.27080520381726514</v>
      </c>
    </row>
    <row r="41" spans="1:30" ht="20.100000000000001" customHeight="1" x14ac:dyDescent="0.25">
      <c r="B41" s="170">
        <v>42289</v>
      </c>
      <c r="C41" s="202">
        <v>2017.46</v>
      </c>
      <c r="D41" s="174">
        <f t="shared" si="5"/>
        <v>1.2755038736605652E-3</v>
      </c>
      <c r="E41" s="203">
        <f t="shared" si="6"/>
        <v>-4.0419702821483619E-2</v>
      </c>
      <c r="F41" s="220">
        <v>4838.6400000000003</v>
      </c>
      <c r="G41" s="174">
        <f t="shared" si="2"/>
        <v>1.6913468047622844E-3</v>
      </c>
      <c r="H41" s="205">
        <f t="shared" si="7"/>
        <v>-4.9700492959129462E-2</v>
      </c>
      <c r="I41" s="224">
        <v>348866.78</v>
      </c>
      <c r="J41" s="172">
        <v>390000</v>
      </c>
      <c r="K41" s="172">
        <f t="shared" si="10"/>
        <v>-2825.1399999999558</v>
      </c>
      <c r="L41" s="174">
        <f t="shared" si="8"/>
        <v>-8.0329966068027839E-3</v>
      </c>
      <c r="M41" s="179">
        <f t="shared" si="11"/>
        <v>-41133.219999999972</v>
      </c>
      <c r="N41" s="187">
        <f t="shared" si="12"/>
        <v>-0.10546979487179479</v>
      </c>
      <c r="O41" s="179" t="b">
        <f t="shared" si="9"/>
        <v>0</v>
      </c>
      <c r="P41" s="187">
        <f>COUNTIF(O$2:O41, TRUE)/(COUNTIF(O$2:O41,FALSE) + COUNTIF(O$2:O41, TRUE))</f>
        <v>0.45</v>
      </c>
      <c r="Q41" s="341"/>
      <c r="R41" s="341"/>
      <c r="S41" s="341"/>
      <c r="T41" s="341"/>
      <c r="U41" s="187">
        <f>STDEV(D$2:D41)*SQRT(252)</f>
        <v>0.25976838750277326</v>
      </c>
      <c r="V41" s="187">
        <f>STDEV(L$2:L41)*SQRT(252)</f>
        <v>0.35850362464103236</v>
      </c>
      <c r="W41" s="179">
        <f t="shared" si="4"/>
        <v>-0.2941945007596537</v>
      </c>
    </row>
    <row r="42" spans="1:30" ht="20.100000000000001" customHeight="1" x14ac:dyDescent="0.25">
      <c r="B42" s="170">
        <v>42290</v>
      </c>
      <c r="C42" s="202">
        <v>2003.69</v>
      </c>
      <c r="D42" s="174">
        <f t="shared" si="5"/>
        <v>-6.8254141346048899E-3</v>
      </c>
      <c r="E42" s="203">
        <f t="shared" si="6"/>
        <v>-4.6969235745134223E-2</v>
      </c>
      <c r="F42" s="220">
        <v>4796.6099999999997</v>
      </c>
      <c r="G42" s="174">
        <f t="shared" si="2"/>
        <v>-8.6863250830813317E-3</v>
      </c>
      <c r="H42" s="205">
        <f t="shared" si="7"/>
        <v>-5.7955103403578401E-2</v>
      </c>
      <c r="I42" s="224">
        <v>347508.59</v>
      </c>
      <c r="J42" s="172">
        <v>390000</v>
      </c>
      <c r="K42" s="172">
        <f t="shared" si="10"/>
        <v>-1358.1900000000023</v>
      </c>
      <c r="L42" s="174">
        <f t="shared" si="8"/>
        <v>-3.8931479804411363E-3</v>
      </c>
      <c r="M42" s="179">
        <f t="shared" si="11"/>
        <v>-42491.409999999974</v>
      </c>
      <c r="N42" s="187">
        <f t="shared" si="12"/>
        <v>-0.10895233333333326</v>
      </c>
      <c r="O42" s="179" t="b">
        <f t="shared" si="9"/>
        <v>1</v>
      </c>
      <c r="P42" s="187">
        <f>COUNTIF(O$2:O42, TRUE)/(COUNTIF(O$2:O42,FALSE) + COUNTIF(O$2:O42, TRUE))</f>
        <v>0.46341463414634149</v>
      </c>
      <c r="Q42" s="341"/>
      <c r="R42" s="341"/>
      <c r="S42" s="341"/>
      <c r="T42" s="341"/>
      <c r="U42" s="187">
        <f>STDEV(D$2:D42)*SQRT(252)</f>
        <v>0.2568435001245859</v>
      </c>
      <c r="V42" s="187">
        <f>STDEV(L$2:L42)*SQRT(252)</f>
        <v>0.35400225993009587</v>
      </c>
      <c r="W42" s="179">
        <f t="shared" si="4"/>
        <v>-0.30777298810139764</v>
      </c>
    </row>
    <row r="43" spans="1:30" ht="20.100000000000001" customHeight="1" x14ac:dyDescent="0.25">
      <c r="B43" s="170">
        <v>42291</v>
      </c>
      <c r="C43" s="208">
        <v>1994.24</v>
      </c>
      <c r="D43" s="174">
        <f t="shared" si="5"/>
        <v>-4.7162984293977837E-3</v>
      </c>
      <c r="E43" s="203">
        <f t="shared" si="6"/>
        <v>-5.1464013241757214E-2</v>
      </c>
      <c r="F43" s="220">
        <v>4782.8500000000004</v>
      </c>
      <c r="G43" s="174">
        <f t="shared" si="2"/>
        <v>-2.8686926808723888E-3</v>
      </c>
      <c r="H43" s="205">
        <f t="shared" si="7"/>
        <v>-6.0657540703497742E-2</v>
      </c>
      <c r="I43" s="224">
        <v>350349.65</v>
      </c>
      <c r="J43" s="172">
        <v>390000</v>
      </c>
      <c r="K43" s="172">
        <f t="shared" si="10"/>
        <v>2841.0599999999977</v>
      </c>
      <c r="L43" s="174">
        <f t="shared" si="8"/>
        <v>8.1755101363105796E-3</v>
      </c>
      <c r="M43" s="179">
        <f t="shared" si="11"/>
        <v>-39650.349999999977</v>
      </c>
      <c r="N43" s="187">
        <f t="shared" si="12"/>
        <v>-0.10166756410256404</v>
      </c>
      <c r="O43" s="179" t="b">
        <f t="shared" si="9"/>
        <v>1</v>
      </c>
      <c r="P43" s="187">
        <f>COUNTIF(O$2:O43, TRUE)/(COUNTIF(O$2:O43,FALSE) + COUNTIF(O$2:O43, TRUE))</f>
        <v>0.47619047619047616</v>
      </c>
      <c r="Q43" s="341"/>
      <c r="R43" s="341"/>
      <c r="S43" s="341"/>
      <c r="T43" s="341"/>
      <c r="U43" s="187">
        <f>STDEV(D$2:D43)*SQRT(252)</f>
        <v>0.25377333453127793</v>
      </c>
      <c r="V43" s="187">
        <f>STDEV(L$2:L43)*SQRT(252)</f>
        <v>0.35017187352757795</v>
      </c>
      <c r="W43" s="179">
        <f t="shared" si="4"/>
        <v>-0.29033617999749817</v>
      </c>
    </row>
    <row r="44" spans="1:30" ht="20.100000000000001" customHeight="1" x14ac:dyDescent="0.25">
      <c r="B44" s="170">
        <v>42292</v>
      </c>
      <c r="C44" s="208">
        <v>2023.86</v>
      </c>
      <c r="D44" s="174">
        <f t="shared" si="5"/>
        <v>1.4852775994865158E-2</v>
      </c>
      <c r="E44" s="203">
        <f>(C44-$C$2)/$C$2</f>
        <v>-3.7375620707368655E-2</v>
      </c>
      <c r="F44" s="220">
        <v>4870.1000000000004</v>
      </c>
      <c r="G44" s="174">
        <f t="shared" si="2"/>
        <v>1.8242261413174154E-2</v>
      </c>
      <c r="H44" s="205">
        <f t="shared" si="7"/>
        <v>-4.3521810004517048E-2</v>
      </c>
      <c r="I44" s="224">
        <v>353686.58</v>
      </c>
      <c r="J44" s="172">
        <v>390000</v>
      </c>
      <c r="K44" s="172">
        <f t="shared" si="10"/>
        <v>3336.929999999993</v>
      </c>
      <c r="L44" s="174">
        <f t="shared" si="8"/>
        <v>9.5245706681881745E-3</v>
      </c>
      <c r="M44" s="179">
        <f t="shared" si="11"/>
        <v>-36313.419999999984</v>
      </c>
      <c r="N44" s="187">
        <f t="shared" si="12"/>
        <v>-9.3111333333333296E-2</v>
      </c>
      <c r="O44" s="179" t="b">
        <f t="shared" si="9"/>
        <v>0</v>
      </c>
      <c r="P44" s="187">
        <f>COUNTIF(O$2:O44, TRUE)/(COUNTIF(O$2:O44,FALSE) + COUNTIF(O$2:O44, TRUE))</f>
        <v>0.46511627906976744</v>
      </c>
      <c r="Q44" s="341"/>
      <c r="R44" s="341"/>
      <c r="S44" s="341"/>
      <c r="T44" s="341"/>
      <c r="U44" s="187">
        <f>STDEV(D$2:D44)*SQRT(252)</f>
        <v>0.25371078720500778</v>
      </c>
      <c r="V44" s="187">
        <f>STDEV(L$2:L44)*SQRT(252)</f>
        <v>0.34666743153233776</v>
      </c>
      <c r="W44" s="179">
        <f t="shared" si="4"/>
        <v>-0.26858979201410127</v>
      </c>
    </row>
    <row r="45" spans="1:30" ht="20.100000000000001" customHeight="1" x14ac:dyDescent="0.25">
      <c r="B45" s="170">
        <v>42293</v>
      </c>
      <c r="C45" s="208">
        <v>2033.11</v>
      </c>
      <c r="D45" s="174">
        <f t="shared" si="5"/>
        <v>4.5704742422894868E-3</v>
      </c>
      <c r="E45" s="203">
        <f t="shared" ref="E45:E53" si="13">(C45-$C$2)/$C$2</f>
        <v>-3.2975970776811775E-2</v>
      </c>
      <c r="F45" s="220">
        <v>4886.6899999999996</v>
      </c>
      <c r="G45" s="174">
        <f t="shared" si="2"/>
        <v>3.4065008932053211E-3</v>
      </c>
      <c r="H45" s="205">
        <f t="shared" si="7"/>
        <v>-4.0263566195966029E-2</v>
      </c>
      <c r="I45" s="224">
        <v>351968.34</v>
      </c>
      <c r="J45" s="172">
        <v>390000</v>
      </c>
      <c r="K45" s="172">
        <f t="shared" si="10"/>
        <v>-1718.2399999999907</v>
      </c>
      <c r="L45" s="174">
        <f t="shared" si="8"/>
        <v>-4.8580865013311799E-3</v>
      </c>
      <c r="M45" s="179">
        <f t="shared" si="11"/>
        <v>-38031.659999999974</v>
      </c>
      <c r="N45" s="187">
        <f t="shared" si="12"/>
        <v>-9.7517076923076859E-2</v>
      </c>
      <c r="O45" s="179" t="b">
        <f t="shared" si="9"/>
        <v>0</v>
      </c>
      <c r="P45" s="187">
        <f>COUNTIF(O$2:O45, TRUE)/(COUNTIF(O$2:O45,FALSE) + COUNTIF(O$2:O45, TRUE))</f>
        <v>0.45454545454545453</v>
      </c>
      <c r="Q45" s="341"/>
      <c r="R45" s="341"/>
      <c r="S45" s="341"/>
      <c r="T45" s="341"/>
      <c r="U45" s="187">
        <f>STDEV(D$2:D45)*SQRT(252)</f>
        <v>0.25100684114352073</v>
      </c>
      <c r="V45" s="187">
        <f>STDEV(L$2:L45)*SQRT(252)</f>
        <v>0.34273345139982825</v>
      </c>
      <c r="W45" s="179">
        <f t="shared" si="4"/>
        <v>-0.28452745573794236</v>
      </c>
    </row>
    <row r="46" spans="1:30" ht="20.100000000000001" customHeight="1" x14ac:dyDescent="0.25">
      <c r="B46" s="185">
        <v>42296</v>
      </c>
      <c r="C46" s="209">
        <v>2033.66</v>
      </c>
      <c r="D46" s="174">
        <f t="shared" si="5"/>
        <v>2.7052151629778119E-4</v>
      </c>
      <c r="E46" s="210">
        <f t="shared" si="13"/>
        <v>-3.2714369970129928E-2</v>
      </c>
      <c r="F46" s="223">
        <v>4905.47</v>
      </c>
      <c r="G46" s="174">
        <f t="shared" si="2"/>
        <v>3.843092154403217E-3</v>
      </c>
      <c r="H46" s="207">
        <f t="shared" si="7"/>
        <v>-3.657521063691882E-2</v>
      </c>
      <c r="I46" s="225">
        <v>353616.79</v>
      </c>
      <c r="J46" s="176">
        <v>390000</v>
      </c>
      <c r="K46" s="176">
        <f t="shared" si="10"/>
        <v>1648.4499999999534</v>
      </c>
      <c r="L46" s="174">
        <f t="shared" si="8"/>
        <v>4.6835178414057167E-3</v>
      </c>
      <c r="M46" s="186">
        <f t="shared" si="11"/>
        <v>-36383.210000000021</v>
      </c>
      <c r="N46" s="188">
        <f t="shared" si="12"/>
        <v>-9.3290282051282106E-2</v>
      </c>
      <c r="O46" s="186" t="b">
        <f t="shared" si="9"/>
        <v>1</v>
      </c>
      <c r="P46" s="188">
        <f>COUNTIF(O$2:O46, TRUE)/(COUNTIF(O$2:O46,FALSE) + COUNTIF(O$2:O46, TRUE))</f>
        <v>0.46666666666666667</v>
      </c>
      <c r="Q46" s="342"/>
      <c r="R46" s="342"/>
      <c r="S46" s="342"/>
      <c r="T46" s="342"/>
      <c r="U46" s="188">
        <f>STDEV(D$2:D46)*SQRT(252)</f>
        <v>0.24808092074482793</v>
      </c>
      <c r="V46" s="188">
        <f>STDEV(L$2:L46)*SQRT(252)</f>
        <v>0.33890448472804552</v>
      </c>
      <c r="W46" s="186">
        <f t="shared" si="4"/>
        <v>-0.27527013142402956</v>
      </c>
    </row>
    <row r="47" spans="1:30" ht="20.100000000000001" customHeight="1" x14ac:dyDescent="0.25">
      <c r="B47" s="185">
        <v>42297</v>
      </c>
      <c r="C47" s="209">
        <v>2030.77</v>
      </c>
      <c r="D47" s="174">
        <f t="shared" si="5"/>
        <v>-1.4210831702448296E-3</v>
      </c>
      <c r="E47" s="210">
        <f t="shared" si="13"/>
        <v>-3.4088963299785044E-2</v>
      </c>
      <c r="F47" s="223">
        <v>4880.97</v>
      </c>
      <c r="G47" s="174">
        <f t="shared" si="2"/>
        <v>-4.9944245913235629E-3</v>
      </c>
      <c r="H47" s="207">
        <f t="shared" si="7"/>
        <v>-4.1386963096804522E-2</v>
      </c>
      <c r="I47" s="225">
        <v>352193</v>
      </c>
      <c r="J47" s="176">
        <v>395000</v>
      </c>
      <c r="K47" s="176">
        <f t="shared" si="10"/>
        <v>-6423.789999999979</v>
      </c>
      <c r="L47" s="174">
        <f t="shared" si="8"/>
        <v>-1.8165964348016334E-2</v>
      </c>
      <c r="M47" s="186">
        <f t="shared" si="11"/>
        <v>-42807</v>
      </c>
      <c r="N47" s="188">
        <f t="shared" si="12"/>
        <v>-0.10837215189873417</v>
      </c>
      <c r="O47" s="186" t="b">
        <f t="shared" si="9"/>
        <v>0</v>
      </c>
      <c r="P47" s="188">
        <f>COUNTIF(O$2:O47, TRUE)/(COUNTIF(O$2:O47,FALSE) + COUNTIF(O$2:O47, TRUE))</f>
        <v>0.45652173913043476</v>
      </c>
      <c r="Q47" s="342"/>
      <c r="R47" s="342"/>
      <c r="S47" s="342"/>
      <c r="T47" s="342"/>
      <c r="U47" s="188">
        <f>STDEV(D$2:D47)*SQRT(252)</f>
        <v>0.24525265348900513</v>
      </c>
      <c r="V47" s="188">
        <f>STDEV(L$2:L47)*SQRT(252)</f>
        <v>0.33783134123152347</v>
      </c>
      <c r="W47" s="186">
        <f t="shared" si="4"/>
        <v>-0.32078773835392699</v>
      </c>
    </row>
    <row r="48" spans="1:30" ht="20.100000000000001" customHeight="1" x14ac:dyDescent="0.25">
      <c r="B48" s="185">
        <v>42298</v>
      </c>
      <c r="C48" s="209">
        <v>2018.94</v>
      </c>
      <c r="D48" s="174">
        <f t="shared" si="5"/>
        <v>-5.8253765812967141E-3</v>
      </c>
      <c r="E48" s="210">
        <f t="shared" si="13"/>
        <v>-3.9715758832594511E-2</v>
      </c>
      <c r="F48" s="223">
        <v>4840.12</v>
      </c>
      <c r="G48" s="174">
        <f t="shared" si="2"/>
        <v>-8.3692380817748033E-3</v>
      </c>
      <c r="H48" s="207">
        <f t="shared" si="7"/>
        <v>-4.9409823830940537E-2</v>
      </c>
      <c r="I48" s="225">
        <v>350311.35</v>
      </c>
      <c r="J48" s="176">
        <v>400000</v>
      </c>
      <c r="K48" s="176">
        <f t="shared" si="10"/>
        <v>-6881.6500000000233</v>
      </c>
      <c r="L48" s="174">
        <f t="shared" si="8"/>
        <v>-1.9539428665532883E-2</v>
      </c>
      <c r="M48" s="186">
        <f t="shared" si="11"/>
        <v>-49688.650000000023</v>
      </c>
      <c r="N48" s="188">
        <f t="shared" si="12"/>
        <v>-0.12422162500000006</v>
      </c>
      <c r="O48" s="186" t="b">
        <f t="shared" si="9"/>
        <v>0</v>
      </c>
      <c r="P48" s="188">
        <f>COUNTIF(O$2:O48, TRUE)/(COUNTIF(O$2:O48,FALSE) + COUNTIF(O$2:O48, TRUE))</f>
        <v>0.44680851063829785</v>
      </c>
      <c r="Q48" s="342"/>
      <c r="R48" s="342"/>
      <c r="S48" s="342"/>
      <c r="T48" s="342"/>
      <c r="U48" s="188">
        <f>STDEV(D$2:D48)*SQRT(252)</f>
        <v>0.24281424638505256</v>
      </c>
      <c r="V48" s="188">
        <f>STDEV(L$2:L48)*SQRT(252)</f>
        <v>0.33709966873657005</v>
      </c>
      <c r="W48" s="186">
        <f t="shared" si="4"/>
        <v>-0.36850117790259329</v>
      </c>
    </row>
    <row r="49" spans="2:24" ht="20.100000000000001" customHeight="1" x14ac:dyDescent="0.25">
      <c r="B49" s="185">
        <v>42299</v>
      </c>
      <c r="C49" s="209">
        <v>2052.5100000000002</v>
      </c>
      <c r="D49" s="174">
        <f t="shared" si="5"/>
        <v>1.6627537222502979E-2</v>
      </c>
      <c r="E49" s="210">
        <f t="shared" si="13"/>
        <v>-2.3748596868400446E-2</v>
      </c>
      <c r="F49" s="223">
        <v>4920.05</v>
      </c>
      <c r="G49" s="174">
        <f t="shared" si="2"/>
        <v>1.6514053370577649E-2</v>
      </c>
      <c r="H49" s="207">
        <f t="shared" si="7"/>
        <v>-3.3711726928137876E-2</v>
      </c>
      <c r="I49" s="225">
        <v>353557.89</v>
      </c>
      <c r="J49" s="176">
        <v>400000</v>
      </c>
      <c r="K49" s="176">
        <f t="shared" si="10"/>
        <v>3246.5400000000373</v>
      </c>
      <c r="L49" s="174">
        <f t="shared" si="8"/>
        <v>9.2675843931406664E-3</v>
      </c>
      <c r="M49" s="186">
        <f t="shared" si="11"/>
        <v>-46442.109999999986</v>
      </c>
      <c r="N49" s="188">
        <f t="shared" si="12"/>
        <v>-0.11610527499999997</v>
      </c>
      <c r="O49" s="186" t="b">
        <f t="shared" si="9"/>
        <v>0</v>
      </c>
      <c r="P49" s="188">
        <f>COUNTIF(O$2:O49, TRUE)/(COUNTIF(O$2:O49,FALSE) + COUNTIF(O$2:O49, TRUE))</f>
        <v>0.4375</v>
      </c>
      <c r="Q49" s="342"/>
      <c r="R49" s="342"/>
      <c r="S49" s="342"/>
      <c r="T49" s="342"/>
      <c r="U49" s="188">
        <f>STDEV(D$2:D49)*SQRT(252)</f>
        <v>0.24351413133026822</v>
      </c>
      <c r="V49" s="188">
        <f>STDEV(L$2:L49)*SQRT(252)</f>
        <v>0.33420544036824928</v>
      </c>
      <c r="W49" s="186">
        <f t="shared" si="4"/>
        <v>-0.34740689700343486</v>
      </c>
    </row>
    <row r="50" spans="2:24" ht="20.100000000000001" customHeight="1" x14ac:dyDescent="0.25">
      <c r="B50" s="185">
        <v>42300</v>
      </c>
      <c r="C50" s="209">
        <v>2075.15</v>
      </c>
      <c r="D50" s="174">
        <f t="shared" si="5"/>
        <v>1.103039692863853E-2</v>
      </c>
      <c r="E50" s="210">
        <f t="shared" si="13"/>
        <v>-1.2980156389718596E-2</v>
      </c>
      <c r="F50" s="223">
        <v>5031.8599999999997</v>
      </c>
      <c r="G50" s="174">
        <f t="shared" si="2"/>
        <v>2.2725378807125839E-2</v>
      </c>
      <c r="H50" s="207">
        <f t="shared" si="7"/>
        <v>-1.1752459885696358E-2</v>
      </c>
      <c r="I50" s="225">
        <v>354948.58</v>
      </c>
      <c r="J50" s="176">
        <v>400000</v>
      </c>
      <c r="K50" s="176">
        <f t="shared" ref="K50:K55" si="14">I50-I49-J50+J49</f>
        <v>1390.6900000000023</v>
      </c>
      <c r="L50" s="174">
        <f t="shared" si="8"/>
        <v>3.93341526051081E-3</v>
      </c>
      <c r="M50" s="186">
        <f t="shared" si="11"/>
        <v>-45051.419999999984</v>
      </c>
      <c r="N50" s="188">
        <f t="shared" si="12"/>
        <v>-0.11262854999999997</v>
      </c>
      <c r="O50" s="186" t="b">
        <f t="shared" si="9"/>
        <v>0</v>
      </c>
      <c r="P50" s="188">
        <f>COUNTIF(O$2:O50, TRUE)/(COUNTIF(O$2:O50,FALSE) + COUNTIF(O$2:O50, TRUE))</f>
        <v>0.42857142857142855</v>
      </c>
      <c r="Q50" s="342"/>
      <c r="R50" s="342"/>
      <c r="S50" s="342"/>
      <c r="T50" s="342"/>
      <c r="U50" s="188">
        <f>STDEV(D$2:D50)*SQRT(252)</f>
        <v>0.2423280462112376</v>
      </c>
      <c r="V50" s="188">
        <f>STDEV(L$2:L50)*SQRT(252)</f>
        <v>0.33078274353135961</v>
      </c>
      <c r="W50" s="186">
        <f t="shared" si="4"/>
        <v>-0.34049100868323351</v>
      </c>
    </row>
    <row r="51" spans="2:24" ht="20.100000000000001" customHeight="1" x14ac:dyDescent="0.25">
      <c r="B51" s="170">
        <v>42303</v>
      </c>
      <c r="C51" s="202">
        <v>2071.1799999999998</v>
      </c>
      <c r="D51" s="174">
        <f t="shared" si="5"/>
        <v>-1.9131147145990672E-3</v>
      </c>
      <c r="E51" s="203">
        <f t="shared" si="13"/>
        <v>-1.4868438576130695E-2</v>
      </c>
      <c r="F51" s="220">
        <v>5034.7</v>
      </c>
      <c r="G51" s="174">
        <f t="shared" si="2"/>
        <v>5.644036201325446E-4</v>
      </c>
      <c r="H51" s="205">
        <f t="shared" si="7"/>
        <v>-1.1194689396468763E-2</v>
      </c>
      <c r="I51" s="224">
        <v>346950.72</v>
      </c>
      <c r="J51" s="172">
        <v>400000</v>
      </c>
      <c r="K51" s="172">
        <f t="shared" si="14"/>
        <v>-7997.8600000000442</v>
      </c>
      <c r="L51" s="174">
        <f t="shared" si="8"/>
        <v>-2.2532446812437011E-2</v>
      </c>
      <c r="M51" s="179">
        <f t="shared" si="11"/>
        <v>-53049.280000000028</v>
      </c>
      <c r="N51" s="187">
        <f t="shared" si="12"/>
        <v>-0.13262320000000008</v>
      </c>
      <c r="O51" s="179" t="b">
        <f t="shared" si="9"/>
        <v>0</v>
      </c>
      <c r="P51" s="187">
        <f>COUNTIF(O$2:O51, TRUE)/(COUNTIF(O$2:O51,FALSE) + COUNTIF(O$2:O51, TRUE))</f>
        <v>0.42</v>
      </c>
      <c r="Q51" s="341"/>
      <c r="R51" s="341"/>
      <c r="S51" s="341"/>
      <c r="T51" s="341"/>
      <c r="U51" s="187">
        <f>STDEV(D$2:D51)*SQRT(252)</f>
        <v>0.23982354896201158</v>
      </c>
      <c r="V51" s="187">
        <f>STDEV(L$2:L51)*SQRT(252)</f>
        <v>0.33116253966336157</v>
      </c>
      <c r="W51" s="179">
        <f t="shared" si="4"/>
        <v>-0.40047766312825195</v>
      </c>
    </row>
    <row r="52" spans="2:24" ht="20.100000000000001" customHeight="1" x14ac:dyDescent="0.25">
      <c r="B52" s="170">
        <v>42304</v>
      </c>
      <c r="C52" s="202">
        <v>2065.89</v>
      </c>
      <c r="D52" s="174">
        <f t="shared" si="5"/>
        <v>-2.5540995953997063E-3</v>
      </c>
      <c r="E52" s="203">
        <f t="shared" si="13"/>
        <v>-1.7384562698578881E-2</v>
      </c>
      <c r="F52" s="220">
        <v>5030.1499999999996</v>
      </c>
      <c r="G52" s="174">
        <f t="shared" si="2"/>
        <v>-9.0372812680004412E-4</v>
      </c>
      <c r="H52" s="205">
        <f t="shared" si="7"/>
        <v>-1.2088300567590428E-2</v>
      </c>
      <c r="I52" s="224">
        <v>345588.46</v>
      </c>
      <c r="J52" s="172">
        <v>400000</v>
      </c>
      <c r="K52" s="172">
        <f t="shared" si="14"/>
        <v>-1362.2599999999511</v>
      </c>
      <c r="L52" s="174">
        <f t="shared" si="8"/>
        <v>-3.9263789393489401E-3</v>
      </c>
      <c r="M52" s="179">
        <f t="shared" si="11"/>
        <v>-54411.539999999979</v>
      </c>
      <c r="N52" s="187">
        <f t="shared" si="12"/>
        <v>-0.13602884999999995</v>
      </c>
      <c r="O52" s="179" t="b">
        <f t="shared" si="9"/>
        <v>0</v>
      </c>
      <c r="P52" s="187">
        <f>COUNTIF(O$2:O52, TRUE)/(COUNTIF(O$2:O52,FALSE) + COUNTIF(O$2:O52, TRUE))</f>
        <v>0.41176470588235292</v>
      </c>
      <c r="Q52" s="341"/>
      <c r="R52" s="341"/>
      <c r="S52" s="341"/>
      <c r="T52" s="341"/>
      <c r="U52" s="187">
        <f>STDEV(D$2:D52)*SQRT(252)</f>
        <v>0.2374229026669446</v>
      </c>
      <c r="V52" s="187">
        <f>STDEV(L$2:L52)*SQRT(252)</f>
        <v>0.32784098915228843</v>
      </c>
      <c r="W52" s="179">
        <f t="shared" si="4"/>
        <v>-0.41492325395837537</v>
      </c>
    </row>
    <row r="53" spans="2:24" ht="20.100000000000001" customHeight="1" x14ac:dyDescent="0.25">
      <c r="B53" s="170">
        <v>42305</v>
      </c>
      <c r="C53" s="208">
        <v>2090.31</v>
      </c>
      <c r="D53" s="174">
        <f t="shared" si="5"/>
        <v>1.1820571279206576E-2</v>
      </c>
      <c r="E53" s="203">
        <f t="shared" si="13"/>
        <v>-5.7694868819086909E-3</v>
      </c>
      <c r="F53" s="220">
        <v>5095.6899999999996</v>
      </c>
      <c r="G53" s="174">
        <f t="shared" si="2"/>
        <v>1.3029432521892979E-2</v>
      </c>
      <c r="H53" s="205">
        <f t="shared" si="7"/>
        <v>7.836282577527706E-4</v>
      </c>
      <c r="I53" s="224">
        <v>353348</v>
      </c>
      <c r="J53" s="172">
        <v>400000</v>
      </c>
      <c r="K53" s="172">
        <f t="shared" si="14"/>
        <v>7759.539999999979</v>
      </c>
      <c r="L53" s="174">
        <f t="shared" si="8"/>
        <v>2.2453122421969698E-2</v>
      </c>
      <c r="M53" s="179">
        <f t="shared" si="11"/>
        <v>-46652</v>
      </c>
      <c r="N53" s="187">
        <f t="shared" si="12"/>
        <v>-0.11663</v>
      </c>
      <c r="O53" s="179" t="b">
        <f t="shared" si="9"/>
        <v>1</v>
      </c>
      <c r="P53" s="187">
        <f>COUNTIF(O$2:O53, TRUE)/(COUNTIF(O$2:O53,FALSE) + COUNTIF(O$2:O53, TRUE))</f>
        <v>0.42307692307692307</v>
      </c>
      <c r="Q53" s="341"/>
      <c r="R53" s="341"/>
      <c r="S53" s="341"/>
      <c r="T53" s="341"/>
      <c r="U53" s="187">
        <f>STDEV(D$2:D53)*SQRT(252)</f>
        <v>0.23656092323249167</v>
      </c>
      <c r="V53" s="187">
        <f>STDEV(L$2:L53)*SQRT(252)</f>
        <v>0.32865868284465172</v>
      </c>
      <c r="W53" s="179">
        <f t="shared" si="4"/>
        <v>-0.35486663243011873</v>
      </c>
    </row>
    <row r="54" spans="2:24" ht="20.100000000000001" customHeight="1" x14ac:dyDescent="0.25">
      <c r="B54" s="170">
        <v>42306</v>
      </c>
      <c r="C54" s="208">
        <v>2089.41</v>
      </c>
      <c r="D54" s="174">
        <f t="shared" si="5"/>
        <v>-4.3055814687777935E-4</v>
      </c>
      <c r="E54" s="203">
        <f>(C54-$C$2)/$C$2</f>
        <v>-6.1975609292061603E-3</v>
      </c>
      <c r="F54" s="220">
        <v>5074.2700000000004</v>
      </c>
      <c r="G54" s="174">
        <f t="shared" si="2"/>
        <v>-4.203552413902566E-3</v>
      </c>
      <c r="H54" s="205">
        <f t="shared" si="7"/>
        <v>-3.4232181786042742E-3</v>
      </c>
      <c r="I54" s="224">
        <v>349127.55</v>
      </c>
      <c r="J54" s="172">
        <v>400000</v>
      </c>
      <c r="K54" s="172">
        <f t="shared" si="14"/>
        <v>-4220.4500000000116</v>
      </c>
      <c r="L54" s="174">
        <f t="shared" si="8"/>
        <v>-1.1944174015418261E-2</v>
      </c>
      <c r="M54" s="179">
        <f t="shared" si="11"/>
        <v>-50872.450000000012</v>
      </c>
      <c r="N54" s="187">
        <f t="shared" si="12"/>
        <v>-0.12718112500000003</v>
      </c>
      <c r="O54" s="179" t="b">
        <f t="shared" si="9"/>
        <v>0</v>
      </c>
      <c r="P54" s="187">
        <f>COUNTIF(O$2:O54, TRUE)/(COUNTIF(O$2:O54,FALSE) + COUNTIF(O$2:O54, TRUE))</f>
        <v>0.41509433962264153</v>
      </c>
      <c r="Q54" s="341"/>
      <c r="R54" s="341"/>
      <c r="S54" s="341"/>
      <c r="T54" s="341"/>
      <c r="U54" s="187">
        <f>STDEV(D$2:D54)*SQRT(252)</f>
        <v>0.23423209631374151</v>
      </c>
      <c r="V54" s="187">
        <f>STDEV(L$2:L54)*SQRT(252)</f>
        <v>0.32641026079746971</v>
      </c>
      <c r="W54" s="179">
        <f t="shared" si="4"/>
        <v>-0.38963580583918311</v>
      </c>
    </row>
    <row r="55" spans="2:24" ht="20.100000000000001" customHeight="1" x14ac:dyDescent="0.25">
      <c r="B55" s="170">
        <v>42307</v>
      </c>
      <c r="C55" s="208">
        <v>2079.36</v>
      </c>
      <c r="D55" s="174">
        <f t="shared" si="5"/>
        <v>-4.8099702786909837E-3</v>
      </c>
      <c r="E55" s="203">
        <f>(C55-$C$2)/$C$2</f>
        <v>-1.0977721124027286E-2</v>
      </c>
      <c r="F55" s="220">
        <v>5053.75</v>
      </c>
      <c r="G55" s="174">
        <f t="shared" si="2"/>
        <v>-4.0439314423553405E-3</v>
      </c>
      <c r="H55" s="205">
        <f t="shared" si="7"/>
        <v>-7.4533063613331143E-3</v>
      </c>
      <c r="I55" s="487">
        <v>351138.5</v>
      </c>
      <c r="J55" s="172">
        <v>400000</v>
      </c>
      <c r="K55" s="172">
        <f t="shared" si="14"/>
        <v>2010.9500000000116</v>
      </c>
      <c r="L55" s="174">
        <f t="shared" si="8"/>
        <v>5.759929286588846E-3</v>
      </c>
      <c r="M55" s="179">
        <f t="shared" si="11"/>
        <v>-48861.5</v>
      </c>
      <c r="N55" s="187">
        <f t="shared" si="12"/>
        <v>-0.12215375000000001</v>
      </c>
      <c r="O55" s="179" t="b">
        <f t="shared" si="9"/>
        <v>1</v>
      </c>
      <c r="P55" s="187">
        <f>COUNTIF(O$2:O55, TRUE)/(COUNTIF(O$2:O55,FALSE) + COUNTIF(O$2:O55, TRUE))</f>
        <v>0.42592592592592593</v>
      </c>
      <c r="Q55" s="341"/>
      <c r="R55" s="341"/>
      <c r="S55" s="341"/>
      <c r="T55" s="341"/>
      <c r="U55" s="187">
        <f>STDEV(D$2:D55)*SQRT(252)</f>
        <v>0.23220468856265722</v>
      </c>
      <c r="V55" s="187">
        <f>STDEV(L$2:L55)*SQRT(252)</f>
        <v>0.32355647040832186</v>
      </c>
      <c r="W55" s="179">
        <f t="shared" si="4"/>
        <v>-0.37753456095575649</v>
      </c>
    </row>
    <row r="56" spans="2:24" ht="20.100000000000001" customHeight="1" x14ac:dyDescent="0.25">
      <c r="B56" s="175">
        <v>42310</v>
      </c>
      <c r="C56" s="212">
        <v>2104.0500000000002</v>
      </c>
      <c r="D56" s="174">
        <f t="shared" si="5"/>
        <v>1.187384579870732E-2</v>
      </c>
      <c r="E56" s="213">
        <f t="shared" ref="E56:E62" si="15">(C56-$C$2)/$C$2</f>
        <v>7.6577690683212233E-4</v>
      </c>
      <c r="F56" s="223">
        <v>5053.75</v>
      </c>
      <c r="G56" s="174">
        <f t="shared" si="2"/>
        <v>0</v>
      </c>
      <c r="H56" s="207">
        <f t="shared" si="7"/>
        <v>-7.4533063613331143E-3</v>
      </c>
      <c r="I56" s="225">
        <v>356948.81</v>
      </c>
      <c r="J56" s="176">
        <v>400000</v>
      </c>
      <c r="K56" s="176">
        <f t="shared" ref="K56:K87" si="16">I56-I55-J56+J55</f>
        <v>5810.3099999999977</v>
      </c>
      <c r="L56" s="174">
        <f t="shared" si="8"/>
        <v>1.6547060490376297E-2</v>
      </c>
      <c r="M56" s="186">
        <f t="shared" si="11"/>
        <v>-43051.19</v>
      </c>
      <c r="N56" s="188">
        <f t="shared" si="12"/>
        <v>-0.107627975</v>
      </c>
      <c r="O56" s="186" t="b">
        <f t="shared" si="9"/>
        <v>1</v>
      </c>
      <c r="P56" s="188">
        <f>COUNTIF(O$2:O56, TRUE)/(COUNTIF(O$2:O56,FALSE) + COUNTIF(O$2:O56, TRUE))</f>
        <v>0.43636363636363634</v>
      </c>
      <c r="Q56" s="342"/>
      <c r="R56" s="342"/>
      <c r="S56" s="342"/>
      <c r="T56" s="342"/>
      <c r="U56" s="188">
        <f>STDEV(D$2:D56)*SQRT(252)</f>
        <v>0.23145429539624826</v>
      </c>
      <c r="V56" s="188">
        <f>STDEV(L$2:L56)*SQRT(252)</f>
        <v>0.32260027221647702</v>
      </c>
      <c r="W56" s="186">
        <f t="shared" si="4"/>
        <v>-0.33362642337690757</v>
      </c>
    </row>
    <row r="57" spans="2:24" ht="20.100000000000001" customHeight="1" x14ac:dyDescent="0.25">
      <c r="B57" s="175">
        <v>42311</v>
      </c>
      <c r="C57" s="212">
        <v>2109.79</v>
      </c>
      <c r="D57" s="174">
        <f t="shared" si="5"/>
        <v>2.7280720515195844E-3</v>
      </c>
      <c r="E57" s="213">
        <f t="shared" si="15"/>
        <v>3.4959380529289343E-3</v>
      </c>
      <c r="F57" s="223">
        <v>5145.13</v>
      </c>
      <c r="G57" s="174">
        <f t="shared" si="2"/>
        <v>1.8081622557506824E-2</v>
      </c>
      <c r="H57" s="207">
        <f t="shared" si="7"/>
        <v>1.049354832374262E-2</v>
      </c>
      <c r="I57" s="225">
        <v>362269.44</v>
      </c>
      <c r="J57" s="176">
        <v>400000</v>
      </c>
      <c r="K57" s="176">
        <f t="shared" si="16"/>
        <v>5320.6300000000047</v>
      </c>
      <c r="L57" s="174">
        <f t="shared" si="8"/>
        <v>1.4905862832264393E-2</v>
      </c>
      <c r="M57" s="186">
        <f t="shared" si="11"/>
        <v>-37730.559999999998</v>
      </c>
      <c r="N57" s="188">
        <f t="shared" si="12"/>
        <v>-9.4326399999999991E-2</v>
      </c>
      <c r="O57" s="186" t="b">
        <f t="shared" si="9"/>
        <v>1</v>
      </c>
      <c r="P57" s="188">
        <f>COUNTIF(O$2:O57, TRUE)/(COUNTIF(O$2:O57,FALSE) + COUNTIF(O$2:O57, TRUE))</f>
        <v>0.44642857142857145</v>
      </c>
      <c r="Q57" s="342"/>
      <c r="R57" s="342"/>
      <c r="S57" s="342"/>
      <c r="T57" s="342"/>
      <c r="U57" s="188">
        <f>STDEV(D$2:D57)*SQRT(252)</f>
        <v>0.22936919812964679</v>
      </c>
      <c r="V57" s="188">
        <f>STDEV(L$2:L57)*SQRT(252)</f>
        <v>0.32122906847311467</v>
      </c>
      <c r="W57" s="186">
        <f t="shared" si="4"/>
        <v>-0.29364216771650808</v>
      </c>
    </row>
    <row r="58" spans="2:24" ht="20.100000000000001" customHeight="1" x14ac:dyDescent="0.25">
      <c r="B58" s="175">
        <v>42312</v>
      </c>
      <c r="C58" s="212">
        <v>2102.31</v>
      </c>
      <c r="D58" s="174">
        <f t="shared" si="5"/>
        <v>-3.5453765540646312E-3</v>
      </c>
      <c r="E58" s="213">
        <f t="shared" si="15"/>
        <v>-6.1832917943013417E-5</v>
      </c>
      <c r="F58" s="223">
        <v>5142.4799999999996</v>
      </c>
      <c r="G58" s="174">
        <f t="shared" si="2"/>
        <v>-5.1505015422361453E-4</v>
      </c>
      <c r="H58" s="207">
        <f t="shared" si="7"/>
        <v>9.9730934658365071E-3</v>
      </c>
      <c r="I58" s="225">
        <v>361654.42</v>
      </c>
      <c r="J58" s="176">
        <v>400000</v>
      </c>
      <c r="K58" s="176">
        <f t="shared" si="16"/>
        <v>-615.02000000001863</v>
      </c>
      <c r="L58" s="174">
        <f t="shared" si="8"/>
        <v>-1.697686672107972E-3</v>
      </c>
      <c r="M58" s="186">
        <f t="shared" si="11"/>
        <v>-38345.580000000016</v>
      </c>
      <c r="N58" s="188">
        <f t="shared" si="12"/>
        <v>-9.5863950000000045E-2</v>
      </c>
      <c r="O58" s="186" t="b">
        <f t="shared" si="9"/>
        <v>1</v>
      </c>
      <c r="P58" s="188">
        <f>COUNTIF(O$2:O58, TRUE)/(COUNTIF(O$2:O58,FALSE) + COUNTIF(O$2:O58, TRUE))</f>
        <v>0.45614035087719296</v>
      </c>
      <c r="Q58" s="342"/>
      <c r="R58" s="342"/>
      <c r="S58" s="342"/>
      <c r="T58" s="342"/>
      <c r="U58" s="188">
        <f>STDEV(D$2:D58)*SQRT(252)</f>
        <v>0.22741079678230972</v>
      </c>
      <c r="V58" s="188">
        <f>STDEV(L$2:L58)*SQRT(252)</f>
        <v>0.31831780697519846</v>
      </c>
      <c r="W58" s="186">
        <f t="shared" si="4"/>
        <v>-0.3011579870788354</v>
      </c>
    </row>
    <row r="59" spans="2:24" ht="20.100000000000001" customHeight="1" x14ac:dyDescent="0.25">
      <c r="B59" s="175">
        <v>42313</v>
      </c>
      <c r="C59" s="212">
        <v>2099.9299999999998</v>
      </c>
      <c r="D59" s="174">
        <f t="shared" si="5"/>
        <v>-1.1320880364932427E-3</v>
      </c>
      <c r="E59" s="213">
        <f t="shared" si="15"/>
        <v>-1.1938509541295915E-3</v>
      </c>
      <c r="F59" s="223">
        <v>5127.74</v>
      </c>
      <c r="G59" s="174">
        <f t="shared" si="2"/>
        <v>-2.8663213080069895E-3</v>
      </c>
      <c r="H59" s="207">
        <f t="shared" si="7"/>
        <v>7.0781860675216456E-3</v>
      </c>
      <c r="I59" s="225">
        <v>351667.44</v>
      </c>
      <c r="J59" s="176">
        <v>400000</v>
      </c>
      <c r="K59" s="176">
        <f t="shared" si="16"/>
        <v>-9986.9799999999814</v>
      </c>
      <c r="L59" s="174">
        <f t="shared" si="8"/>
        <v>-2.7614704667510995E-2</v>
      </c>
      <c r="M59" s="186">
        <f t="shared" si="11"/>
        <v>-48332.56</v>
      </c>
      <c r="N59" s="188">
        <f t="shared" si="12"/>
        <v>-0.12083139999999999</v>
      </c>
      <c r="O59" s="186" t="b">
        <f t="shared" ref="O59:O90" si="17">L59&gt;D59</f>
        <v>0</v>
      </c>
      <c r="P59" s="188">
        <f>COUNTIF(O$2:O59, TRUE)/(COUNTIF(O$2:O59,FALSE) + COUNTIF(O$2:O59, TRUE))</f>
        <v>0.44827586206896552</v>
      </c>
      <c r="Q59" s="342"/>
      <c r="R59" s="342"/>
      <c r="S59" s="342"/>
      <c r="T59" s="342"/>
      <c r="U59" s="188">
        <f>STDEV(D$2:D59)*SQRT(252)</f>
        <v>0.2253860839795564</v>
      </c>
      <c r="V59" s="188">
        <f>STDEV(L$2:L59)*SQRT(252)</f>
        <v>0.32078118980306136</v>
      </c>
      <c r="W59" s="186">
        <f t="shared" si="4"/>
        <v>-0.37667857044293201</v>
      </c>
    </row>
    <row r="60" spans="2:24" ht="20.100000000000001" customHeight="1" x14ac:dyDescent="0.25">
      <c r="B60" s="175">
        <v>42314</v>
      </c>
      <c r="C60" s="219">
        <v>2099.1999999999998</v>
      </c>
      <c r="D60" s="174">
        <f t="shared" si="5"/>
        <v>-3.4763063530689989E-4</v>
      </c>
      <c r="E60" s="213">
        <f t="shared" si="15"/>
        <v>-1.5410665702708455E-3</v>
      </c>
      <c r="F60" s="223">
        <v>5147.12</v>
      </c>
      <c r="G60" s="174">
        <f t="shared" si="2"/>
        <v>3.7794427954615699E-3</v>
      </c>
      <c r="H60" s="207">
        <f t="shared" si="7"/>
        <v>1.0884380462321047E-2</v>
      </c>
      <c r="I60" s="225">
        <v>351454.25</v>
      </c>
      <c r="J60" s="176">
        <v>400000</v>
      </c>
      <c r="K60" s="176">
        <f t="shared" si="16"/>
        <v>-213.19000000000233</v>
      </c>
      <c r="L60" s="174">
        <f t="shared" si="8"/>
        <v>-6.0622615502874632E-4</v>
      </c>
      <c r="M60" s="186">
        <f t="shared" si="11"/>
        <v>-48545.75</v>
      </c>
      <c r="N60" s="188">
        <f t="shared" si="12"/>
        <v>-0.121364375</v>
      </c>
      <c r="O60" s="186" t="b">
        <f t="shared" si="17"/>
        <v>0</v>
      </c>
      <c r="P60" s="188">
        <f>COUNTIF(O$2:O60, TRUE)/(COUNTIF(O$2:O60,FALSE) + COUNTIF(O$2:O60, TRUE))</f>
        <v>0.44067796610169491</v>
      </c>
      <c r="Q60" s="342"/>
      <c r="R60" s="342"/>
      <c r="S60" s="342"/>
      <c r="T60" s="342"/>
      <c r="U60" s="188">
        <f>STDEV(D$2:D60)*SQRT(252)</f>
        <v>0.22340202899589548</v>
      </c>
      <c r="V60" s="188">
        <f>STDEV(L$2:L60)*SQRT(252)</f>
        <v>0.31795506965896425</v>
      </c>
      <c r="W60" s="186">
        <f t="shared" si="4"/>
        <v>-0.38170290893670711</v>
      </c>
      <c r="X60" s="217"/>
    </row>
    <row r="61" spans="2:24" ht="20.100000000000001" customHeight="1" x14ac:dyDescent="0.25">
      <c r="B61" s="170">
        <v>42317</v>
      </c>
      <c r="C61" s="202">
        <v>2078.58</v>
      </c>
      <c r="D61" s="174">
        <f t="shared" si="5"/>
        <v>-9.8227896341462895E-3</v>
      </c>
      <c r="E61" s="203">
        <f t="shared" si="15"/>
        <v>-1.1348718631685149E-2</v>
      </c>
      <c r="F61" s="220">
        <v>5095.3</v>
      </c>
      <c r="G61" s="174">
        <f t="shared" si="2"/>
        <v>-1.0067766051694873E-2</v>
      </c>
      <c r="H61" s="205">
        <f t="shared" si="7"/>
        <v>7.0703301451388806E-4</v>
      </c>
      <c r="I61" s="224">
        <v>347015.14</v>
      </c>
      <c r="J61" s="172">
        <v>400000</v>
      </c>
      <c r="K61" s="172">
        <f t="shared" si="16"/>
        <v>-4439.109999999986</v>
      </c>
      <c r="L61" s="174">
        <f t="shared" si="8"/>
        <v>-1.2630690907849275E-2</v>
      </c>
      <c r="M61" s="179">
        <f t="shared" si="11"/>
        <v>-52984.859999999986</v>
      </c>
      <c r="N61" s="187">
        <f t="shared" si="12"/>
        <v>-0.13246214999999997</v>
      </c>
      <c r="O61" s="179" t="b">
        <f t="shared" si="17"/>
        <v>0</v>
      </c>
      <c r="P61" s="187">
        <f>COUNTIF(O$2:O61, TRUE)/(COUNTIF(O$2:O61,FALSE) + COUNTIF(O$2:O61, TRUE))</f>
        <v>0.43333333333333335</v>
      </c>
      <c r="Q61" s="341"/>
      <c r="R61" s="341"/>
      <c r="S61" s="341"/>
      <c r="T61" s="341"/>
      <c r="U61" s="187">
        <f>STDEV(D$2:D61)*SQRT(252)</f>
        <v>0.2224096817728117</v>
      </c>
      <c r="V61" s="187">
        <f>STDEV(L$2:L61)*SQRT(252)</f>
        <v>0.31620783635013966</v>
      </c>
      <c r="W61" s="179">
        <f t="shared" si="4"/>
        <v>-0.41890849869173857</v>
      </c>
    </row>
    <row r="62" spans="2:24" ht="20.100000000000001" customHeight="1" x14ac:dyDescent="0.25">
      <c r="B62" s="170">
        <v>42318</v>
      </c>
      <c r="C62" s="202">
        <v>2081.7199999999998</v>
      </c>
      <c r="D62" s="174">
        <f t="shared" si="5"/>
        <v>1.5106466914912454E-3</v>
      </c>
      <c r="E62" s="203">
        <f t="shared" si="15"/>
        <v>-9.8552158444475246E-3</v>
      </c>
      <c r="F62" s="220">
        <v>5083.24</v>
      </c>
      <c r="G62" s="174">
        <f t="shared" si="2"/>
        <v>-2.3668871312779228E-3</v>
      </c>
      <c r="H62" s="205">
        <f t="shared" si="7"/>
        <v>-1.6615275841074762E-3</v>
      </c>
      <c r="I62" s="224">
        <v>346488.34</v>
      </c>
      <c r="J62" s="172">
        <v>400000</v>
      </c>
      <c r="K62" s="172">
        <f t="shared" si="16"/>
        <v>-526.79999999998836</v>
      </c>
      <c r="L62" s="174">
        <f t="shared" si="8"/>
        <v>-1.5180893836504894E-3</v>
      </c>
      <c r="M62" s="179">
        <f t="shared" ref="M62:M93" si="18">I62-J62</f>
        <v>-53511.659999999974</v>
      </c>
      <c r="N62" s="187">
        <f t="shared" ref="N62:N93" si="19">M62/J62</f>
        <v>-0.13377914999999993</v>
      </c>
      <c r="O62" s="179" t="b">
        <f t="shared" si="17"/>
        <v>0</v>
      </c>
      <c r="P62" s="187">
        <f>COUNTIF(O$2:O62, TRUE)/(COUNTIF(O$2:O62,FALSE) + COUNTIF(O$2:O62, TRUE))</f>
        <v>0.42622950819672129</v>
      </c>
      <c r="Q62" s="341"/>
      <c r="R62" s="341"/>
      <c r="S62" s="341"/>
      <c r="T62" s="341"/>
      <c r="U62" s="187">
        <f>STDEV(D$2:D62)*SQRT(252)</f>
        <v>0.22054140197015909</v>
      </c>
      <c r="V62" s="187">
        <f>STDEV(L$2:L62)*SQRT(252)</f>
        <v>0.31352177036879675</v>
      </c>
      <c r="W62" s="179">
        <f t="shared" si="4"/>
        <v>-0.42669812001455287</v>
      </c>
    </row>
    <row r="63" spans="2:24" ht="20.100000000000001" customHeight="1" x14ac:dyDescent="0.25">
      <c r="B63" s="170">
        <v>42319</v>
      </c>
      <c r="C63" s="202">
        <v>2075</v>
      </c>
      <c r="D63" s="174">
        <f t="shared" si="5"/>
        <v>-3.2280998405164003E-3</v>
      </c>
      <c r="E63" s="203">
        <f t="shared" ref="E63:E84" si="20">(C63-$C$2)/$C$2</f>
        <v>-1.305150206426821E-2</v>
      </c>
      <c r="F63" s="220">
        <v>5067.0200000000004</v>
      </c>
      <c r="G63" s="174">
        <f t="shared" si="2"/>
        <v>-3.1908782587482289E-3</v>
      </c>
      <c r="H63" s="205">
        <f t="shared" si="7"/>
        <v>-4.8471041106112655E-3</v>
      </c>
      <c r="I63" s="224">
        <v>341384.62</v>
      </c>
      <c r="J63" s="172">
        <v>400000</v>
      </c>
      <c r="K63" s="172">
        <f t="shared" si="16"/>
        <v>-5103.7200000000303</v>
      </c>
      <c r="L63" s="174">
        <f t="shared" si="8"/>
        <v>-1.472984632036977E-2</v>
      </c>
      <c r="M63" s="179">
        <f t="shared" si="18"/>
        <v>-58615.380000000005</v>
      </c>
      <c r="N63" s="187">
        <f t="shared" si="19"/>
        <v>-0.14653845000000001</v>
      </c>
      <c r="O63" s="179" t="b">
        <f t="shared" si="17"/>
        <v>0</v>
      </c>
      <c r="P63" s="187">
        <f>COUNTIF(O$2:O63, TRUE)/(COUNTIF(O$2:O63,FALSE) + COUNTIF(O$2:O63, TRUE))</f>
        <v>0.41935483870967744</v>
      </c>
      <c r="Q63" s="341"/>
      <c r="R63" s="341"/>
      <c r="S63" s="341"/>
      <c r="T63" s="341"/>
      <c r="U63" s="187">
        <f>STDEV(D$2:D63)*SQRT(252)</f>
        <v>0.21879001839109452</v>
      </c>
      <c r="V63" s="187">
        <f>STDEV(L$2:L63)*SQRT(252)</f>
        <v>0.31221077177668255</v>
      </c>
      <c r="W63" s="179">
        <f t="shared" si="4"/>
        <v>-0.46935744454331552</v>
      </c>
    </row>
    <row r="64" spans="2:24" ht="20.100000000000001" customHeight="1" x14ac:dyDescent="0.25">
      <c r="B64" s="170">
        <v>42320</v>
      </c>
      <c r="C64" s="208">
        <v>2045.97</v>
      </c>
      <c r="D64" s="174">
        <f t="shared" si="5"/>
        <v>-1.3990361445783119E-2</v>
      </c>
      <c r="E64" s="203">
        <f t="shared" si="20"/>
        <v>-2.6859268278761832E-2</v>
      </c>
      <c r="F64" s="220">
        <v>5005.08</v>
      </c>
      <c r="G64" s="174">
        <f t="shared" si="2"/>
        <v>-1.222414752655417E-2</v>
      </c>
      <c r="H64" s="205">
        <f t="shared" si="7"/>
        <v>-1.7011999921440757E-2</v>
      </c>
      <c r="I64" s="224">
        <v>335500.62</v>
      </c>
      <c r="J64" s="172">
        <v>400000</v>
      </c>
      <c r="K64" s="172">
        <f t="shared" si="16"/>
        <v>-5884</v>
      </c>
      <c r="L64" s="174">
        <f t="shared" si="8"/>
        <v>-1.7235691520022196E-2</v>
      </c>
      <c r="M64" s="179">
        <f t="shared" si="18"/>
        <v>-64499.380000000005</v>
      </c>
      <c r="N64" s="187">
        <f t="shared" si="19"/>
        <v>-0.16124845000000002</v>
      </c>
      <c r="O64" s="179" t="b">
        <f t="shared" si="17"/>
        <v>0</v>
      </c>
      <c r="P64" s="187">
        <f>COUNTIF(O$2:O64, TRUE)/(COUNTIF(O$2:O64,FALSE) + COUNTIF(O$2:O64, TRUE))</f>
        <v>0.41269841269841268</v>
      </c>
      <c r="Q64" s="341"/>
      <c r="R64" s="341"/>
      <c r="S64" s="341"/>
      <c r="T64" s="341"/>
      <c r="U64" s="187">
        <f>STDEV(D$2:D64)*SQRT(252)</f>
        <v>0.21878322617502383</v>
      </c>
      <c r="V64" s="187">
        <f>STDEV(L$2:L64)*SQRT(252)</f>
        <v>0.311389828072407</v>
      </c>
      <c r="W64" s="179">
        <f t="shared" si="4"/>
        <v>-0.51783467365705071</v>
      </c>
    </row>
    <row r="65" spans="2:23" ht="20.100000000000001" customHeight="1" x14ac:dyDescent="0.25">
      <c r="B65" s="170">
        <v>42321</v>
      </c>
      <c r="C65" s="208">
        <v>2023.04</v>
      </c>
      <c r="D65" s="174">
        <f t="shared" si="5"/>
        <v>-1.1207397957936852E-2</v>
      </c>
      <c r="E65" s="203">
        <f t="shared" si="20"/>
        <v>-3.7765643728239609E-2</v>
      </c>
      <c r="F65" s="220">
        <v>4927.88</v>
      </c>
      <c r="G65" s="174">
        <f t="shared" si="2"/>
        <v>-1.5424328881855999E-2</v>
      </c>
      <c r="H65" s="205">
        <f t="shared" si="7"/>
        <v>-3.217393012157034E-2</v>
      </c>
      <c r="I65" s="224">
        <v>335955</v>
      </c>
      <c r="J65" s="172">
        <v>400000</v>
      </c>
      <c r="K65" s="172">
        <f t="shared" si="16"/>
        <v>454.38000000000466</v>
      </c>
      <c r="L65" s="174">
        <f t="shared" si="8"/>
        <v>1.3543343079366133E-3</v>
      </c>
      <c r="M65" s="179">
        <f t="shared" si="18"/>
        <v>-64045</v>
      </c>
      <c r="N65" s="187">
        <f t="shared" si="19"/>
        <v>-0.16011249999999999</v>
      </c>
      <c r="O65" s="179" t="b">
        <f t="shared" si="17"/>
        <v>1</v>
      </c>
      <c r="P65" s="187">
        <f>COUNTIF(O$2:O65, TRUE)/(COUNTIF(O$2:O65,FALSE) + COUNTIF(O$2:O65, TRUE))</f>
        <v>0.421875</v>
      </c>
      <c r="Q65" s="341"/>
      <c r="R65" s="341"/>
      <c r="S65" s="341"/>
      <c r="T65" s="341"/>
      <c r="U65" s="187">
        <f>STDEV(D$2:D65)*SQRT(252)</f>
        <v>0.21809630494176296</v>
      </c>
      <c r="V65" s="187">
        <f>STDEV(L$2:L65)*SQRT(252)</f>
        <v>0.30890912442956392</v>
      </c>
      <c r="W65" s="179">
        <f t="shared" si="4"/>
        <v>-0.51831586488636772</v>
      </c>
    </row>
    <row r="66" spans="2:23" ht="20.100000000000001" customHeight="1" x14ac:dyDescent="0.25">
      <c r="B66" s="175">
        <v>42324</v>
      </c>
      <c r="C66" s="212">
        <v>2053.19</v>
      </c>
      <c r="D66" s="174">
        <f t="shared" si="5"/>
        <v>1.4903313824739053E-2</v>
      </c>
      <c r="E66" s="213">
        <f t="shared" si="20"/>
        <v>-2.3425163143775803E-2</v>
      </c>
      <c r="F66" s="223">
        <v>4984.62</v>
      </c>
      <c r="G66" s="174">
        <f t="shared" si="2"/>
        <v>1.1514079076600847E-2</v>
      </c>
      <c r="H66" s="207">
        <f t="shared" si="7"/>
        <v>-2.1030304220594286E-2</v>
      </c>
      <c r="I66" s="225">
        <v>342834.39</v>
      </c>
      <c r="J66" s="176">
        <v>400000</v>
      </c>
      <c r="K66" s="176">
        <f t="shared" si="16"/>
        <v>6879.390000000014</v>
      </c>
      <c r="L66" s="174">
        <f t="shared" si="8"/>
        <v>2.047711747108992E-2</v>
      </c>
      <c r="M66" s="186">
        <f t="shared" si="18"/>
        <v>-57165.609999999986</v>
      </c>
      <c r="N66" s="188">
        <f t="shared" si="19"/>
        <v>-0.14291402499999997</v>
      </c>
      <c r="O66" s="186" t="b">
        <f t="shared" si="17"/>
        <v>1</v>
      </c>
      <c r="P66" s="188">
        <f>COUNTIF(O$2:O66, TRUE)/(COUNTIF(O$2:O66,FALSE) + COUNTIF(O$2:O66, TRUE))</f>
        <v>0.43076923076923079</v>
      </c>
      <c r="Q66" s="342"/>
      <c r="R66" s="342"/>
      <c r="S66" s="342"/>
      <c r="T66" s="342"/>
      <c r="U66" s="188">
        <f>STDEV(D$2:D66)*SQRT(252)</f>
        <v>0.2185117014996438</v>
      </c>
      <c r="V66" s="188">
        <f>STDEV(L$2:L66)*SQRT(252)</f>
        <v>0.30942792293284299</v>
      </c>
      <c r="W66" s="186">
        <f t="shared" si="4"/>
        <v>-0.46186531469242181</v>
      </c>
    </row>
    <row r="67" spans="2:23" ht="20.100000000000001" customHeight="1" x14ac:dyDescent="0.25">
      <c r="B67" s="175">
        <v>42325</v>
      </c>
      <c r="C67" s="212">
        <v>2050.44</v>
      </c>
      <c r="D67" s="174">
        <f t="shared" si="5"/>
        <v>-1.3393792099123801E-3</v>
      </c>
      <c r="E67" s="213">
        <f t="shared" si="20"/>
        <v>-2.4733167177184604E-2</v>
      </c>
      <c r="F67" s="223">
        <v>4986.01</v>
      </c>
      <c r="G67" s="174">
        <f t="shared" ref="G67:G131" si="21">(F67-F66)/F66</f>
        <v>2.7885776648978807E-4</v>
      </c>
      <c r="H67" s="207">
        <f t="shared" ref="H67:H84" si="22">(F67-F$2)/F$2</f>
        <v>-2.0757310917768054E-2</v>
      </c>
      <c r="I67" s="225">
        <v>341363.07</v>
      </c>
      <c r="J67" s="176">
        <v>400000</v>
      </c>
      <c r="K67" s="176">
        <f t="shared" si="16"/>
        <v>-1471.320000000007</v>
      </c>
      <c r="L67" s="174">
        <f t="shared" si="8"/>
        <v>-4.2916348036146747E-3</v>
      </c>
      <c r="M67" s="186">
        <f t="shared" si="18"/>
        <v>-58636.929999999993</v>
      </c>
      <c r="N67" s="188">
        <f t="shared" si="19"/>
        <v>-0.146592325</v>
      </c>
      <c r="O67" s="186" t="b">
        <f t="shared" si="17"/>
        <v>0</v>
      </c>
      <c r="P67" s="188">
        <f>COUNTIF(O$2:O67, TRUE)/(COUNTIF(O$2:O67,FALSE) + COUNTIF(O$2:O67, TRUE))</f>
        <v>0.42424242424242425</v>
      </c>
      <c r="Q67" s="342"/>
      <c r="R67" s="342"/>
      <c r="S67" s="342"/>
      <c r="T67" s="342"/>
      <c r="U67" s="188">
        <f>STDEV(D$2:D67)*SQRT(252)</f>
        <v>0.21680795188349017</v>
      </c>
      <c r="V67" s="188">
        <f>STDEV(L$2:L67)*SQRT(252)</f>
        <v>0.30707902780871166</v>
      </c>
      <c r="W67" s="186">
        <f t="shared" ref="W67:W130" si="23">N67/V67</f>
        <v>-0.4773765439016453</v>
      </c>
    </row>
    <row r="68" spans="2:23" ht="20.100000000000001" customHeight="1" x14ac:dyDescent="0.25">
      <c r="B68" s="175">
        <v>42326</v>
      </c>
      <c r="C68" s="212">
        <v>2083.58</v>
      </c>
      <c r="D68" s="174">
        <f t="shared" ref="D68:D132" si="24">(C68-C67)/C67</f>
        <v>1.6162384658902417E-2</v>
      </c>
      <c r="E68" s="213">
        <f t="shared" si="20"/>
        <v>-8.970529480032784E-3</v>
      </c>
      <c r="F68" s="223">
        <v>5075.2</v>
      </c>
      <c r="G68" s="174">
        <f t="shared" si="21"/>
        <v>1.7888050766043308E-2</v>
      </c>
      <c r="H68" s="207">
        <f t="shared" si="22"/>
        <v>-3.2405679831883261E-3</v>
      </c>
      <c r="I68" s="225">
        <v>349578.29</v>
      </c>
      <c r="J68" s="176">
        <v>400000</v>
      </c>
      <c r="K68" s="176">
        <f t="shared" si="16"/>
        <v>8215.2199999999721</v>
      </c>
      <c r="L68" s="174">
        <f t="shared" ref="L68:L131" si="25">K68/I67</f>
        <v>2.4065930740545461E-2</v>
      </c>
      <c r="M68" s="186">
        <f t="shared" si="18"/>
        <v>-50421.710000000021</v>
      </c>
      <c r="N68" s="188">
        <f t="shared" si="19"/>
        <v>-0.12605427500000005</v>
      </c>
      <c r="O68" s="186" t="b">
        <f t="shared" si="17"/>
        <v>1</v>
      </c>
      <c r="P68" s="188">
        <f>COUNTIF(O$2:O68, TRUE)/(COUNTIF(O$2:O68,FALSE) + COUNTIF(O$2:O68, TRUE))</f>
        <v>0.43283582089552236</v>
      </c>
      <c r="Q68" s="342"/>
      <c r="R68" s="342"/>
      <c r="S68" s="342"/>
      <c r="T68" s="342"/>
      <c r="U68" s="188">
        <f>STDEV(D$2:D68)*SQRT(252)</f>
        <v>0.21752341302178005</v>
      </c>
      <c r="V68" s="188">
        <f>STDEV(L$2:L68)*SQRT(252)</f>
        <v>0.30856663188820815</v>
      </c>
      <c r="W68" s="186">
        <f t="shared" si="23"/>
        <v>-0.40851557483269535</v>
      </c>
    </row>
    <row r="69" spans="2:23" ht="20.100000000000001" customHeight="1" x14ac:dyDescent="0.25">
      <c r="B69" s="175">
        <v>42327</v>
      </c>
      <c r="C69" s="212">
        <v>2081.2399999999998</v>
      </c>
      <c r="D69" s="174">
        <f t="shared" si="24"/>
        <v>-1.1230670288638524E-3</v>
      </c>
      <c r="E69" s="213">
        <f t="shared" si="20"/>
        <v>-1.0083522003006161E-2</v>
      </c>
      <c r="F69" s="223">
        <v>5073.63</v>
      </c>
      <c r="G69" s="174">
        <f t="shared" si="21"/>
        <v>-3.0934741488014442E-4</v>
      </c>
      <c r="H69" s="207">
        <f t="shared" si="22"/>
        <v>-3.5489129367401282E-3</v>
      </c>
      <c r="I69" s="225">
        <v>351509.95</v>
      </c>
      <c r="J69" s="176">
        <v>400000</v>
      </c>
      <c r="K69" s="176">
        <f t="shared" si="16"/>
        <v>1931.6600000000326</v>
      </c>
      <c r="L69" s="174">
        <f t="shared" si="25"/>
        <v>5.5256863920240375E-3</v>
      </c>
      <c r="M69" s="186">
        <f t="shared" si="18"/>
        <v>-48490.049999999988</v>
      </c>
      <c r="N69" s="188">
        <f t="shared" si="19"/>
        <v>-0.12122512499999998</v>
      </c>
      <c r="O69" s="186" t="b">
        <f t="shared" si="17"/>
        <v>1</v>
      </c>
      <c r="P69" s="188">
        <f>COUNTIF(O$2:O69, TRUE)/(COUNTIF(O$2:O69,FALSE) + COUNTIF(O$2:O69, TRUE))</f>
        <v>0.44117647058823528</v>
      </c>
      <c r="Q69" s="342"/>
      <c r="R69" s="342"/>
      <c r="S69" s="342"/>
      <c r="T69" s="342"/>
      <c r="U69" s="188">
        <f>STDEV(D$2:D69)*SQRT(252)</f>
        <v>0.21587936448621181</v>
      </c>
      <c r="V69" s="188">
        <f>STDEV(L$2:L69)*SQRT(252)</f>
        <v>0.30643952094821814</v>
      </c>
      <c r="W69" s="186">
        <f t="shared" si="23"/>
        <v>-0.39559233295004559</v>
      </c>
    </row>
    <row r="70" spans="2:23" ht="20.100000000000001" customHeight="1" x14ac:dyDescent="0.25">
      <c r="B70" s="175">
        <v>42328</v>
      </c>
      <c r="C70" s="219">
        <v>2089.17</v>
      </c>
      <c r="D70" s="174">
        <f t="shared" si="24"/>
        <v>3.8102285176146392E-3</v>
      </c>
      <c r="E70" s="213">
        <f t="shared" si="20"/>
        <v>-6.3117140084853699E-3</v>
      </c>
      <c r="F70" s="223">
        <v>5104.92</v>
      </c>
      <c r="G70" s="174">
        <f t="shared" si="21"/>
        <v>6.1671820767379495E-3</v>
      </c>
      <c r="H70" s="207">
        <f t="shared" si="22"/>
        <v>2.5963823477424546E-3</v>
      </c>
      <c r="I70" s="225">
        <v>349809.33</v>
      </c>
      <c r="J70" s="176">
        <v>400000</v>
      </c>
      <c r="K70" s="176">
        <f t="shared" si="16"/>
        <v>-1700.6199999999953</v>
      </c>
      <c r="L70" s="174">
        <f t="shared" si="25"/>
        <v>-4.8380422801687275E-3</v>
      </c>
      <c r="M70" s="186">
        <f t="shared" si="18"/>
        <v>-50190.669999999984</v>
      </c>
      <c r="N70" s="188">
        <f t="shared" si="19"/>
        <v>-0.12547667499999995</v>
      </c>
      <c r="O70" s="186" t="b">
        <f t="shared" si="17"/>
        <v>0</v>
      </c>
      <c r="P70" s="188">
        <f>COUNTIF(O$2:O70, TRUE)/(COUNTIF(O$2:O70,FALSE) + COUNTIF(O$2:O70, TRUE))</f>
        <v>0.43478260869565216</v>
      </c>
      <c r="Q70" s="342"/>
      <c r="R70" s="342"/>
      <c r="S70" s="342"/>
      <c r="T70" s="342"/>
      <c r="U70" s="188">
        <f>STDEV(D$2:D70)*SQRT(252)</f>
        <v>0.21439176321013317</v>
      </c>
      <c r="V70" s="188">
        <f>STDEV(L$2:L70)*SQRT(252)</f>
        <v>0.30426600271918647</v>
      </c>
      <c r="W70" s="186">
        <f t="shared" si="23"/>
        <v>-0.41239137425355088</v>
      </c>
    </row>
    <row r="71" spans="2:23" ht="20.100000000000001" customHeight="1" x14ac:dyDescent="0.25">
      <c r="B71" s="170">
        <v>42331</v>
      </c>
      <c r="C71" s="202">
        <v>2086.59</v>
      </c>
      <c r="D71" s="174">
        <f t="shared" si="24"/>
        <v>-1.2349401915592924E-3</v>
      </c>
      <c r="E71" s="203">
        <f t="shared" si="20"/>
        <v>-7.5388596107379561E-3</v>
      </c>
      <c r="F71" s="220">
        <v>5102.47</v>
      </c>
      <c r="G71" s="174">
        <f t="shared" si="21"/>
        <v>-4.7992916637279687E-4</v>
      </c>
      <c r="H71" s="205">
        <f t="shared" si="22"/>
        <v>2.1152071017539204E-3</v>
      </c>
      <c r="I71" s="224">
        <v>352380.62</v>
      </c>
      <c r="J71" s="172">
        <v>400000</v>
      </c>
      <c r="K71" s="172">
        <f t="shared" si="16"/>
        <v>2571.289999999979</v>
      </c>
      <c r="L71" s="174">
        <f t="shared" si="25"/>
        <v>7.3505472252554807E-3</v>
      </c>
      <c r="M71" s="179">
        <f t="shared" si="18"/>
        <v>-47619.380000000005</v>
      </c>
      <c r="N71" s="187">
        <f t="shared" si="19"/>
        <v>-0.11904845000000001</v>
      </c>
      <c r="O71" s="179" t="b">
        <f t="shared" si="17"/>
        <v>1</v>
      </c>
      <c r="P71" s="187">
        <f>COUNTIF(O$2:O71, TRUE)/(COUNTIF(O$2:O71,FALSE) + COUNTIF(O$2:O71, TRUE))</f>
        <v>0.44285714285714284</v>
      </c>
      <c r="Q71" s="341"/>
      <c r="R71" s="341"/>
      <c r="S71" s="341"/>
      <c r="T71" s="341"/>
      <c r="U71" s="187">
        <f>STDEV(D$2:D71)*SQRT(252)</f>
        <v>0.21282253565490999</v>
      </c>
      <c r="V71" s="187">
        <f>STDEV(L$2:L71)*SQRT(252)</f>
        <v>0.30238621984250691</v>
      </c>
      <c r="W71" s="179">
        <f t="shared" si="23"/>
        <v>-0.39369667725600893</v>
      </c>
    </row>
    <row r="72" spans="2:23" ht="20.100000000000001" customHeight="1" x14ac:dyDescent="0.25">
      <c r="B72" s="170">
        <v>42332</v>
      </c>
      <c r="C72" s="202">
        <v>2089.14</v>
      </c>
      <c r="D72" s="174">
        <f t="shared" si="24"/>
        <v>1.2220896294910485E-3</v>
      </c>
      <c r="E72" s="203">
        <f t="shared" si="20"/>
        <v>-6.3259831433953792E-3</v>
      </c>
      <c r="F72" s="220">
        <v>5102.8</v>
      </c>
      <c r="G72" s="174">
        <f t="shared" si="21"/>
        <v>6.4674559576034202E-5</v>
      </c>
      <c r="H72" s="205">
        <f t="shared" si="22"/>
        <v>2.1800184614176729E-3</v>
      </c>
      <c r="I72" s="224">
        <v>356994.69</v>
      </c>
      <c r="J72" s="172">
        <v>400000</v>
      </c>
      <c r="K72" s="172">
        <f t="shared" si="16"/>
        <v>4614.070000000007</v>
      </c>
      <c r="L72" s="174">
        <f t="shared" si="25"/>
        <v>1.309399478325456E-2</v>
      </c>
      <c r="M72" s="179">
        <f t="shared" si="18"/>
        <v>-43005.31</v>
      </c>
      <c r="N72" s="187">
        <f t="shared" si="19"/>
        <v>-0.10751327499999999</v>
      </c>
      <c r="O72" s="179" t="b">
        <f t="shared" si="17"/>
        <v>1</v>
      </c>
      <c r="P72" s="187">
        <f>COUNTIF(O$2:O72, TRUE)/(COUNTIF(O$2:O72,FALSE) + COUNTIF(O$2:O72, TRUE))</f>
        <v>0.45070422535211269</v>
      </c>
      <c r="Q72" s="341"/>
      <c r="R72" s="341"/>
      <c r="S72" s="341"/>
      <c r="T72" s="341"/>
      <c r="U72" s="187">
        <f>STDEV(D$2:D72)*SQRT(252)</f>
        <v>0.21128787806615651</v>
      </c>
      <c r="V72" s="187">
        <f>STDEV(L$2:L72)*SQRT(252)</f>
        <v>0.30126350583982381</v>
      </c>
      <c r="W72" s="179">
        <f t="shared" si="23"/>
        <v>-0.3568745397829991</v>
      </c>
    </row>
    <row r="73" spans="2:23" ht="20.100000000000001" customHeight="1" x14ac:dyDescent="0.25">
      <c r="B73" s="170">
        <v>42333</v>
      </c>
      <c r="C73" s="202">
        <v>2088.87</v>
      </c>
      <c r="D73" s="174">
        <f t="shared" si="24"/>
        <v>-1.2923978287715607E-4</v>
      </c>
      <c r="E73" s="203">
        <f t="shared" si="20"/>
        <v>-6.4544053575845989E-3</v>
      </c>
      <c r="F73" s="220">
        <v>5116.1400000000003</v>
      </c>
      <c r="G73" s="174">
        <f t="shared" si="21"/>
        <v>2.6142509994513102E-3</v>
      </c>
      <c r="H73" s="205">
        <f t="shared" si="22"/>
        <v>4.7999685763105661E-3</v>
      </c>
      <c r="I73" s="224">
        <v>357953.42</v>
      </c>
      <c r="J73" s="172">
        <v>400000</v>
      </c>
      <c r="K73" s="172">
        <f t="shared" si="16"/>
        <v>958.72999999998137</v>
      </c>
      <c r="L73" s="174">
        <f t="shared" si="25"/>
        <v>2.6855581521394098E-3</v>
      </c>
      <c r="M73" s="179">
        <f t="shared" si="18"/>
        <v>-42046.580000000016</v>
      </c>
      <c r="N73" s="187">
        <f t="shared" si="19"/>
        <v>-0.10511645000000004</v>
      </c>
      <c r="O73" s="179" t="b">
        <f t="shared" si="17"/>
        <v>1</v>
      </c>
      <c r="P73" s="187">
        <f>COUNTIF(O$2:O73, TRUE)/(COUNTIF(O$2:O73,FALSE) + COUNTIF(O$2:O73, TRUE))</f>
        <v>0.45833333333333331</v>
      </c>
      <c r="Q73" s="341"/>
      <c r="R73" s="341"/>
      <c r="S73" s="341"/>
      <c r="T73" s="341"/>
      <c r="U73" s="187">
        <f>STDEV(D$2:D73)*SQRT(252)</f>
        <v>0.20977338456133537</v>
      </c>
      <c r="V73" s="187">
        <f>STDEV(L$2:L73)*SQRT(252)</f>
        <v>0.29915075312421052</v>
      </c>
      <c r="W73" s="179">
        <f t="shared" si="23"/>
        <v>-0.35138286934666213</v>
      </c>
    </row>
    <row r="74" spans="2:23" ht="20.100000000000001" customHeight="1" x14ac:dyDescent="0.25">
      <c r="B74" s="170">
        <v>42335</v>
      </c>
      <c r="C74" s="208">
        <v>2090.11</v>
      </c>
      <c r="D74" s="174">
        <f t="shared" si="24"/>
        <v>5.9362238913873841E-4</v>
      </c>
      <c r="E74" s="203">
        <f t="shared" si="20"/>
        <v>-5.8646144479746996E-3</v>
      </c>
      <c r="F74" s="220">
        <v>5127.5200000000004</v>
      </c>
      <c r="G74" s="174">
        <f t="shared" si="21"/>
        <v>2.2243331886930592E-3</v>
      </c>
      <c r="H74" s="205">
        <f t="shared" si="22"/>
        <v>7.0349784944125967E-3</v>
      </c>
      <c r="I74" s="224">
        <v>355463.47</v>
      </c>
      <c r="J74" s="172">
        <v>400000</v>
      </c>
      <c r="K74" s="172">
        <f t="shared" si="16"/>
        <v>-2489.9500000000116</v>
      </c>
      <c r="L74" s="174">
        <f t="shared" si="25"/>
        <v>-6.9560726644265942E-3</v>
      </c>
      <c r="M74" s="179">
        <f t="shared" si="18"/>
        <v>-44536.530000000028</v>
      </c>
      <c r="N74" s="187">
        <f t="shared" si="19"/>
        <v>-0.11134132500000007</v>
      </c>
      <c r="O74" s="179" t="b">
        <f t="shared" si="17"/>
        <v>0</v>
      </c>
      <c r="P74" s="187">
        <f>COUNTIF(O$2:O74, TRUE)/(COUNTIF(O$2:O74,FALSE) + COUNTIF(O$2:O74, TRUE))</f>
        <v>0.45205479452054792</v>
      </c>
      <c r="Q74" s="341"/>
      <c r="R74" s="341"/>
      <c r="S74" s="341"/>
      <c r="T74" s="341"/>
      <c r="U74" s="187">
        <f>STDEV(D$2:D74)*SQRT(252)</f>
        <v>0.20829387869007757</v>
      </c>
      <c r="V74" s="187">
        <f>STDEV(L$2:L74)*SQRT(252)</f>
        <v>0.29731455796464418</v>
      </c>
      <c r="W74" s="179">
        <f t="shared" si="23"/>
        <v>-0.37448998717795878</v>
      </c>
    </row>
    <row r="75" spans="2:23" ht="20.100000000000001" customHeight="1" x14ac:dyDescent="0.25">
      <c r="B75" s="175">
        <v>42338</v>
      </c>
      <c r="C75" s="212">
        <v>2080.41</v>
      </c>
      <c r="D75" s="174">
        <f t="shared" si="24"/>
        <v>-4.6409040672501789E-3</v>
      </c>
      <c r="E75" s="213">
        <f t="shared" si="20"/>
        <v>-1.0478301402180418E-2</v>
      </c>
      <c r="F75" s="223">
        <v>5108.66</v>
      </c>
      <c r="G75" s="174">
        <f t="shared" si="21"/>
        <v>-3.6781914063720045E-3</v>
      </c>
      <c r="H75" s="207">
        <f t="shared" si="22"/>
        <v>3.3309110905984322E-3</v>
      </c>
      <c r="I75" s="485">
        <v>358262.29</v>
      </c>
      <c r="J75" s="176">
        <v>400000</v>
      </c>
      <c r="K75" s="176">
        <f t="shared" si="16"/>
        <v>2798.820000000007</v>
      </c>
      <c r="L75" s="174">
        <f t="shared" si="25"/>
        <v>7.8737204697855653E-3</v>
      </c>
      <c r="M75" s="186">
        <f t="shared" si="18"/>
        <v>-41737.710000000021</v>
      </c>
      <c r="N75" s="188">
        <f t="shared" si="19"/>
        <v>-0.10434427500000006</v>
      </c>
      <c r="O75" s="186" t="b">
        <f t="shared" si="17"/>
        <v>1</v>
      </c>
      <c r="P75" s="188">
        <f>COUNTIF(O$2:O75, TRUE)/(COUNTIF(O$2:O75,FALSE) + COUNTIF(O$2:O75, TRUE))</f>
        <v>0.45945945945945948</v>
      </c>
      <c r="Q75" s="342"/>
      <c r="R75" s="342"/>
      <c r="S75" s="342"/>
      <c r="T75" s="342"/>
      <c r="U75" s="188">
        <f>STDEV(D$2:D75)*SQRT(252)</f>
        <v>0.20702224585874895</v>
      </c>
      <c r="V75" s="188">
        <f>STDEV(L$2:L75)*SQRT(252)</f>
        <v>0.29562170062555598</v>
      </c>
      <c r="W75" s="186">
        <f t="shared" si="23"/>
        <v>-0.35296554609895131</v>
      </c>
    </row>
    <row r="76" spans="2:23" ht="20.100000000000001" customHeight="1" x14ac:dyDescent="0.25">
      <c r="B76" s="175">
        <v>42339</v>
      </c>
      <c r="C76" s="212">
        <v>2102.63</v>
      </c>
      <c r="D76" s="174">
        <f t="shared" si="24"/>
        <v>1.0680586999678072E-2</v>
      </c>
      <c r="E76" s="213">
        <f t="shared" si="20"/>
        <v>9.0371187762815854E-5</v>
      </c>
      <c r="F76" s="223">
        <v>5156.3</v>
      </c>
      <c r="G76" s="174">
        <f t="shared" si="21"/>
        <v>9.3253416747249435E-3</v>
      </c>
      <c r="H76" s="207">
        <f t="shared" si="22"/>
        <v>1.2687314649331337E-2</v>
      </c>
      <c r="I76" s="225">
        <v>361281.91</v>
      </c>
      <c r="J76" s="176">
        <v>400000</v>
      </c>
      <c r="K76" s="176">
        <f t="shared" si="16"/>
        <v>3019.6199999999953</v>
      </c>
      <c r="L76" s="174">
        <f t="shared" si="25"/>
        <v>8.4285175534382795E-3</v>
      </c>
      <c r="M76" s="186">
        <f t="shared" si="18"/>
        <v>-38718.090000000026</v>
      </c>
      <c r="N76" s="188">
        <f t="shared" si="19"/>
        <v>-9.6795225000000068E-2</v>
      </c>
      <c r="O76" s="186" t="b">
        <f t="shared" si="17"/>
        <v>0</v>
      </c>
      <c r="P76" s="188">
        <f>COUNTIF(O$2:O76, TRUE)/(COUNTIF(O$2:O76,FALSE) + COUNTIF(O$2:O76, TRUE))</f>
        <v>0.45333333333333331</v>
      </c>
      <c r="Q76" s="342"/>
      <c r="R76" s="342"/>
      <c r="S76" s="342"/>
      <c r="T76" s="342"/>
      <c r="U76" s="188">
        <f>STDEV(D$2:D76)*SQRT(252)</f>
        <v>0.20655260318517649</v>
      </c>
      <c r="V76" s="188">
        <f>STDEV(L$2:L76)*SQRT(252)</f>
        <v>0.29400855496408335</v>
      </c>
      <c r="W76" s="186">
        <f t="shared" si="23"/>
        <v>-0.32922587919873542</v>
      </c>
    </row>
    <row r="77" spans="2:23" ht="20.100000000000001" customHeight="1" x14ac:dyDescent="0.25">
      <c r="B77" s="175">
        <v>42340</v>
      </c>
      <c r="C77" s="212">
        <v>2079.5100000000002</v>
      </c>
      <c r="D77" s="174">
        <f t="shared" si="24"/>
        <v>-1.0995752937987135E-2</v>
      </c>
      <c r="E77" s="213">
        <f t="shared" si="20"/>
        <v>-1.0906375449477671E-2</v>
      </c>
      <c r="F77" s="223">
        <v>5123.22</v>
      </c>
      <c r="G77" s="174">
        <f t="shared" si="21"/>
        <v>-6.415452941062375E-3</v>
      </c>
      <c r="H77" s="207">
        <f t="shared" si="22"/>
        <v>6.1904668381877245E-3</v>
      </c>
      <c r="I77" s="225">
        <v>349641.2</v>
      </c>
      <c r="J77" s="176">
        <v>400000</v>
      </c>
      <c r="K77" s="176">
        <f t="shared" si="16"/>
        <v>-11640.709999999963</v>
      </c>
      <c r="L77" s="174">
        <f t="shared" si="25"/>
        <v>-3.2220572571707129E-2</v>
      </c>
      <c r="M77" s="186">
        <f t="shared" si="18"/>
        <v>-50358.799999999988</v>
      </c>
      <c r="N77" s="188">
        <f t="shared" si="19"/>
        <v>-0.12589699999999998</v>
      </c>
      <c r="O77" s="186" t="b">
        <f t="shared" si="17"/>
        <v>0</v>
      </c>
      <c r="P77" s="188">
        <f>COUNTIF(O$2:O77, TRUE)/(COUNTIF(O$2:O77,FALSE) + COUNTIF(O$2:O77, TRUE))</f>
        <v>0.44736842105263158</v>
      </c>
      <c r="Q77" s="342"/>
      <c r="R77" s="342"/>
      <c r="S77" s="342"/>
      <c r="T77" s="342"/>
      <c r="U77" s="188">
        <f>STDEV(D$2:D77)*SQRT(252)</f>
        <v>0.20615523591080137</v>
      </c>
      <c r="V77" s="188">
        <f>STDEV(L$2:L77)*SQRT(252)</f>
        <v>0.29794414920309426</v>
      </c>
      <c r="W77" s="186">
        <f t="shared" si="23"/>
        <v>-0.42255234860873886</v>
      </c>
    </row>
    <row r="78" spans="2:23" ht="20.100000000000001" customHeight="1" x14ac:dyDescent="0.25">
      <c r="B78" s="175">
        <v>42341</v>
      </c>
      <c r="C78" s="212">
        <v>2049.62</v>
      </c>
      <c r="D78" s="174">
        <f t="shared" si="24"/>
        <v>-1.4373578391063435E-2</v>
      </c>
      <c r="E78" s="213">
        <f t="shared" si="20"/>
        <v>-2.5123190198055669E-2</v>
      </c>
      <c r="F78" s="223">
        <v>5037.5200000000004</v>
      </c>
      <c r="G78" s="174">
        <f t="shared" si="21"/>
        <v>-1.6727761056523009E-2</v>
      </c>
      <c r="H78" s="207">
        <f t="shared" si="22"/>
        <v>-1.0640846868432819E-2</v>
      </c>
      <c r="I78" s="225">
        <v>344430.58</v>
      </c>
      <c r="J78" s="176">
        <v>400000</v>
      </c>
      <c r="K78" s="176">
        <f t="shared" si="16"/>
        <v>-5210.6199999999953</v>
      </c>
      <c r="L78" s="174">
        <f t="shared" si="25"/>
        <v>-1.4902763175506763E-2</v>
      </c>
      <c r="M78" s="186">
        <f t="shared" si="18"/>
        <v>-55569.419999999984</v>
      </c>
      <c r="N78" s="188">
        <f t="shared" si="19"/>
        <v>-0.13892354999999995</v>
      </c>
      <c r="O78" s="186" t="b">
        <f t="shared" si="17"/>
        <v>0</v>
      </c>
      <c r="P78" s="188">
        <f>COUNTIF(O$2:O78, TRUE)/(COUNTIF(O$2:O78,FALSE) + COUNTIF(O$2:O78, TRUE))</f>
        <v>0.44155844155844154</v>
      </c>
      <c r="Q78" s="342"/>
      <c r="R78" s="342"/>
      <c r="S78" s="342"/>
      <c r="T78" s="342"/>
      <c r="U78" s="188">
        <f>STDEV(D$2:D78)*SQRT(252)</f>
        <v>0.20642766070992974</v>
      </c>
      <c r="V78" s="188">
        <f>STDEV(L$2:L78)*SQRT(252)</f>
        <v>0.29712936975574017</v>
      </c>
      <c r="W78" s="186">
        <f t="shared" si="23"/>
        <v>-0.46755240020265992</v>
      </c>
    </row>
    <row r="79" spans="2:23" ht="20.100000000000001" customHeight="1" x14ac:dyDescent="0.25">
      <c r="B79" s="175">
        <v>42342</v>
      </c>
      <c r="C79" s="212">
        <v>2091.69</v>
      </c>
      <c r="D79" s="174">
        <f t="shared" si="24"/>
        <v>2.0525755993794054E-2</v>
      </c>
      <c r="E79" s="213">
        <f t="shared" si="20"/>
        <v>-5.1131066760525864E-3</v>
      </c>
      <c r="F79" s="223">
        <v>5142.2700000000004</v>
      </c>
      <c r="G79" s="174">
        <f t="shared" si="21"/>
        <v>2.0793962108339021E-2</v>
      </c>
      <c r="H79" s="207">
        <f t="shared" si="22"/>
        <v>9.9318498733233732E-3</v>
      </c>
      <c r="I79" s="225">
        <v>341064.65</v>
      </c>
      <c r="J79" s="176">
        <v>400000</v>
      </c>
      <c r="K79" s="176">
        <f t="shared" si="16"/>
        <v>-3365.929999999993</v>
      </c>
      <c r="L79" s="174">
        <f t="shared" si="25"/>
        <v>-9.7724481955115388E-3</v>
      </c>
      <c r="M79" s="186">
        <f t="shared" si="18"/>
        <v>-58935.349999999977</v>
      </c>
      <c r="N79" s="188">
        <f t="shared" si="19"/>
        <v>-0.14733837499999994</v>
      </c>
      <c r="O79" s="186" t="b">
        <f t="shared" si="17"/>
        <v>0</v>
      </c>
      <c r="P79" s="188">
        <f>COUNTIF(O$2:O79, TRUE)/(COUNTIF(O$2:O79,FALSE) + COUNTIF(O$2:O79, TRUE))</f>
        <v>0.4358974358974359</v>
      </c>
      <c r="Q79" s="342"/>
      <c r="R79" s="342"/>
      <c r="S79" s="342"/>
      <c r="T79" s="342"/>
      <c r="U79" s="188">
        <f>STDEV(D$2:D79)*SQRT(252)</f>
        <v>0.2084813160993948</v>
      </c>
      <c r="V79" s="188">
        <f>STDEV(L$2:L79)*SQRT(252)</f>
        <v>0.29563649002359699</v>
      </c>
      <c r="W79" s="186">
        <f t="shared" si="23"/>
        <v>-0.49837682414724838</v>
      </c>
    </row>
    <row r="80" spans="2:23" ht="20.100000000000001" customHeight="1" x14ac:dyDescent="0.25">
      <c r="B80" s="170">
        <v>42345</v>
      </c>
      <c r="C80" s="202">
        <v>2077.0700000000002</v>
      </c>
      <c r="D80" s="174">
        <f t="shared" si="24"/>
        <v>-6.9895634630370131E-3</v>
      </c>
      <c r="E80" s="203">
        <f t="shared" si="20"/>
        <v>-1.2066931755484052E-2</v>
      </c>
      <c r="F80" s="220">
        <v>5101.8100000000004</v>
      </c>
      <c r="G80" s="174">
        <f t="shared" si="21"/>
        <v>-7.8681204993125663E-3</v>
      </c>
      <c r="H80" s="205">
        <f t="shared" si="22"/>
        <v>1.9855843824264159E-3</v>
      </c>
      <c r="I80" s="224">
        <v>323555.34000000003</v>
      </c>
      <c r="J80" s="172">
        <v>400000</v>
      </c>
      <c r="K80" s="172">
        <f t="shared" si="16"/>
        <v>-17509.309999999998</v>
      </c>
      <c r="L80" s="174">
        <f t="shared" si="25"/>
        <v>-5.1337217152231981E-2</v>
      </c>
      <c r="M80" s="179">
        <f t="shared" si="18"/>
        <v>-76444.659999999974</v>
      </c>
      <c r="N80" s="187">
        <f t="shared" si="19"/>
        <v>-0.19111164999999994</v>
      </c>
      <c r="O80" s="179" t="b">
        <f t="shared" si="17"/>
        <v>0</v>
      </c>
      <c r="P80" s="187">
        <f>COUNTIF(O$2:O80, TRUE)/(COUNTIF(O$2:O80,FALSE) + COUNTIF(O$2:O80, TRUE))</f>
        <v>0.43037974683544306</v>
      </c>
      <c r="Q80" s="341"/>
      <c r="R80" s="341"/>
      <c r="S80" s="341"/>
      <c r="T80" s="341"/>
      <c r="U80" s="187">
        <f>STDEV(D$2:D80)*SQRT(252)</f>
        <v>0.20750582350249624</v>
      </c>
      <c r="V80" s="187">
        <f>STDEV(L$2:L80)*SQRT(252)</f>
        <v>0.3074916653921197</v>
      </c>
      <c r="W80" s="179">
        <f t="shared" si="23"/>
        <v>-0.62151814669932737</v>
      </c>
    </row>
    <row r="81" spans="2:23" ht="20.100000000000001" customHeight="1" x14ac:dyDescent="0.25">
      <c r="B81" s="170">
        <v>42346</v>
      </c>
      <c r="C81" s="202">
        <v>2063.59</v>
      </c>
      <c r="D81" s="174">
        <f t="shared" si="24"/>
        <v>-6.489911269239851E-3</v>
      </c>
      <c r="E81" s="203">
        <f t="shared" si="20"/>
        <v>-1.8478529708338839E-2</v>
      </c>
      <c r="F81" s="220">
        <v>5098.24</v>
      </c>
      <c r="G81" s="174">
        <f t="shared" si="21"/>
        <v>-6.9975165676507318E-4</v>
      </c>
      <c r="H81" s="205">
        <f t="shared" si="22"/>
        <v>1.284443309700093E-3</v>
      </c>
      <c r="I81" s="224">
        <v>320909.52</v>
      </c>
      <c r="J81" s="172">
        <v>400000</v>
      </c>
      <c r="K81" s="172">
        <f t="shared" si="16"/>
        <v>-2645.820000000007</v>
      </c>
      <c r="L81" s="174">
        <f t="shared" si="25"/>
        <v>-8.1773337445149464E-3</v>
      </c>
      <c r="M81" s="179">
        <f t="shared" si="18"/>
        <v>-79090.479999999981</v>
      </c>
      <c r="N81" s="187">
        <f t="shared" si="19"/>
        <v>-0.19772619999999996</v>
      </c>
      <c r="O81" s="179" t="b">
        <f t="shared" si="17"/>
        <v>0</v>
      </c>
      <c r="P81" s="187">
        <f>COUNTIF(O$2:O81, TRUE)/(COUNTIF(O$2:O81,FALSE) + COUNTIF(O$2:O81, TRUE))</f>
        <v>0.42499999999999999</v>
      </c>
      <c r="Q81" s="341"/>
      <c r="R81" s="341"/>
      <c r="S81" s="341"/>
      <c r="T81" s="341"/>
      <c r="U81" s="187">
        <f>STDEV(D$2:D81)*SQRT(252)</f>
        <v>0.20648984597109604</v>
      </c>
      <c r="V81" s="187">
        <f>STDEV(L$2:L81)*SQRT(252)</f>
        <v>0.3057577572819663</v>
      </c>
      <c r="W81" s="179">
        <f t="shared" si="23"/>
        <v>-0.64667598872286047</v>
      </c>
    </row>
    <row r="82" spans="2:23" ht="20.100000000000001" customHeight="1" x14ac:dyDescent="0.25">
      <c r="B82" s="170">
        <v>42347</v>
      </c>
      <c r="C82" s="202">
        <v>2047.62</v>
      </c>
      <c r="D82" s="174">
        <f t="shared" si="24"/>
        <v>-7.7389403902908297E-3</v>
      </c>
      <c r="E82" s="203">
        <f t="shared" si="20"/>
        <v>-2.6074465858716617E-2</v>
      </c>
      <c r="F82" s="220">
        <v>5022.8599999999997</v>
      </c>
      <c r="G82" s="174">
        <f t="shared" si="21"/>
        <v>-1.4785494602058772E-2</v>
      </c>
      <c r="H82" s="205">
        <f t="shared" si="22"/>
        <v>-1.3520042421980899E-2</v>
      </c>
      <c r="I82" s="224">
        <v>319453.12</v>
      </c>
      <c r="J82" s="172">
        <v>400000</v>
      </c>
      <c r="K82" s="172">
        <f t="shared" si="16"/>
        <v>-1456.4000000000233</v>
      </c>
      <c r="L82" s="174">
        <f t="shared" si="25"/>
        <v>-4.5383508722334669E-3</v>
      </c>
      <c r="M82" s="179">
        <f t="shared" si="18"/>
        <v>-80546.880000000005</v>
      </c>
      <c r="N82" s="187">
        <f t="shared" si="19"/>
        <v>-0.20136720000000002</v>
      </c>
      <c r="O82" s="179" t="b">
        <f t="shared" si="17"/>
        <v>1</v>
      </c>
      <c r="P82" s="187">
        <f>COUNTIF(O$2:O82, TRUE)/(COUNTIF(O$2:O82,FALSE) + COUNTIF(O$2:O82, TRUE))</f>
        <v>0.43209876543209874</v>
      </c>
      <c r="Q82" s="341"/>
      <c r="R82" s="341"/>
      <c r="S82" s="341"/>
      <c r="T82" s="341"/>
      <c r="U82" s="187">
        <f>STDEV(D$2:D82)*SQRT(252)</f>
        <v>0.20562012018240991</v>
      </c>
      <c r="V82" s="187">
        <f>STDEV(L$2:L82)*SQRT(252)</f>
        <v>0.30386643217647319</v>
      </c>
      <c r="W82" s="179">
        <f t="shared" si="23"/>
        <v>-0.66268326697913837</v>
      </c>
    </row>
    <row r="83" spans="2:23" ht="20.100000000000001" customHeight="1" x14ac:dyDescent="0.25">
      <c r="B83" s="170">
        <v>42348</v>
      </c>
      <c r="C83" s="208">
        <v>2052.23</v>
      </c>
      <c r="D83" s="174">
        <f t="shared" si="24"/>
        <v>2.2513943016771315E-3</v>
      </c>
      <c r="E83" s="203">
        <f t="shared" si="20"/>
        <v>-2.3881775460893075E-2</v>
      </c>
      <c r="F83" s="220">
        <v>5045.17</v>
      </c>
      <c r="G83" s="174">
        <f t="shared" si="21"/>
        <v>4.4416925815173825E-3</v>
      </c>
      <c r="H83" s="205">
        <f t="shared" si="22"/>
        <v>-9.1384017125910304E-3</v>
      </c>
      <c r="I83" s="224">
        <v>324246.53999999998</v>
      </c>
      <c r="J83" s="172">
        <v>400000</v>
      </c>
      <c r="K83" s="172">
        <f t="shared" si="16"/>
        <v>4793.4199999999837</v>
      </c>
      <c r="L83" s="174">
        <f t="shared" si="25"/>
        <v>1.5005081183742965E-2</v>
      </c>
      <c r="M83" s="179">
        <f t="shared" si="18"/>
        <v>-75753.460000000021</v>
      </c>
      <c r="N83" s="187">
        <f t="shared" si="19"/>
        <v>-0.18938365000000004</v>
      </c>
      <c r="O83" s="179" t="b">
        <f t="shared" si="17"/>
        <v>1</v>
      </c>
      <c r="P83" s="187">
        <f>COUNTIF(O$2:O83, TRUE)/(COUNTIF(O$2:O83,FALSE) + COUNTIF(O$2:O83, TRUE))</f>
        <v>0.43902439024390244</v>
      </c>
      <c r="Q83" s="341"/>
      <c r="R83" s="341"/>
      <c r="S83" s="341"/>
      <c r="T83" s="341"/>
      <c r="U83" s="187">
        <f>STDEV(D$2:D83)*SQRT(252)</f>
        <v>0.20437847650239915</v>
      </c>
      <c r="V83" s="187">
        <f>STDEV(L$2:L83)*SQRT(252)</f>
        <v>0.30335650462124281</v>
      </c>
      <c r="W83" s="179">
        <f t="shared" si="23"/>
        <v>-0.62429401418788066</v>
      </c>
    </row>
    <row r="84" spans="2:23" ht="20.100000000000001" customHeight="1" x14ac:dyDescent="0.25">
      <c r="B84" s="170">
        <v>42349</v>
      </c>
      <c r="C84" s="208">
        <v>2012.37</v>
      </c>
      <c r="D84" s="174">
        <f t="shared" si="24"/>
        <v>-1.9422774250449575E-2</v>
      </c>
      <c r="E84" s="203">
        <f t="shared" si="20"/>
        <v>-4.2840699377865797E-2</v>
      </c>
      <c r="F84" s="220">
        <v>4933.47</v>
      </c>
      <c r="G84" s="174">
        <f t="shared" si="21"/>
        <v>-2.2139987354241743E-2</v>
      </c>
      <c r="H84" s="205">
        <f t="shared" si="22"/>
        <v>-3.1076064968478027E-2</v>
      </c>
      <c r="I84" s="224">
        <v>314974.52</v>
      </c>
      <c r="J84" s="172">
        <v>400000</v>
      </c>
      <c r="K84" s="172">
        <f t="shared" si="16"/>
        <v>-9272.0199999999604</v>
      </c>
      <c r="L84" s="174">
        <f t="shared" si="25"/>
        <v>-2.8595586555834832E-2</v>
      </c>
      <c r="M84" s="179">
        <f t="shared" si="18"/>
        <v>-85025.479999999981</v>
      </c>
      <c r="N84" s="187">
        <f t="shared" si="19"/>
        <v>-0.21256369999999997</v>
      </c>
      <c r="O84" s="179" t="b">
        <f t="shared" si="17"/>
        <v>0</v>
      </c>
      <c r="P84" s="187">
        <f>COUNTIF(O$2:O84, TRUE)/(COUNTIF(O$2:O84,FALSE) + COUNTIF(O$2:O84, TRUE))</f>
        <v>0.43373493975903615</v>
      </c>
      <c r="Q84" s="341"/>
      <c r="R84" s="341"/>
      <c r="S84" s="341"/>
      <c r="T84" s="341"/>
      <c r="U84" s="187">
        <f>STDEV(D$2:D84)*SQRT(252)</f>
        <v>0.20588473038733746</v>
      </c>
      <c r="V84" s="187">
        <f>STDEV(L$2:L84)*SQRT(252)</f>
        <v>0.3052608066855817</v>
      </c>
      <c r="W84" s="179">
        <f t="shared" si="23"/>
        <v>-0.69633472540397345</v>
      </c>
    </row>
    <row r="85" spans="2:23" ht="20.100000000000001" customHeight="1" x14ac:dyDescent="0.25">
      <c r="B85" s="175">
        <v>42352</v>
      </c>
      <c r="C85" s="212">
        <v>2021.94</v>
      </c>
      <c r="D85" s="174">
        <f t="shared" si="24"/>
        <v>4.7555866962835681E-3</v>
      </c>
      <c r="E85" s="213">
        <f t="shared" ref="E85:E95" si="26">(C85-$C$2)/$C$2</f>
        <v>-3.8288845341603088E-2</v>
      </c>
      <c r="F85" s="223">
        <v>4871.59</v>
      </c>
      <c r="G85" s="174">
        <f t="shared" si="21"/>
        <v>-1.2542895771130685E-2</v>
      </c>
      <c r="H85" s="207">
        <f t="shared" ref="H85:H106" si="27">(F85-F$2)/F$2</f>
        <v>-4.3229176895732205E-2</v>
      </c>
      <c r="I85" s="225">
        <f>400000-82872.25</f>
        <v>317127.75</v>
      </c>
      <c r="J85" s="176">
        <v>400000</v>
      </c>
      <c r="K85" s="176">
        <f t="shared" si="16"/>
        <v>2153.2299999999814</v>
      </c>
      <c r="L85" s="174">
        <f t="shared" si="25"/>
        <v>6.8362037665776303E-3</v>
      </c>
      <c r="M85" s="186">
        <f t="shared" si="18"/>
        <v>-82872.25</v>
      </c>
      <c r="N85" s="188">
        <f t="shared" si="19"/>
        <v>-0.20718062500000001</v>
      </c>
      <c r="O85" s="186" t="b">
        <f t="shared" si="17"/>
        <v>1</v>
      </c>
      <c r="P85" s="188">
        <f>COUNTIF(O$2:O85, TRUE)/(COUNTIF(O$2:O85,FALSE) + COUNTIF(O$2:O85, TRUE))</f>
        <v>0.44047619047619047</v>
      </c>
      <c r="Q85" s="342"/>
      <c r="R85" s="342"/>
      <c r="S85" s="342"/>
      <c r="T85" s="342"/>
      <c r="U85" s="188">
        <f>STDEV(D$2:D85)*SQRT(252)</f>
        <v>0.20482646913198044</v>
      </c>
      <c r="V85" s="188">
        <f>STDEV(L$2:L85)*SQRT(252)</f>
        <v>0.30374972032355096</v>
      </c>
      <c r="W85" s="186">
        <f t="shared" si="23"/>
        <v>-0.68207675970635762</v>
      </c>
    </row>
    <row r="86" spans="2:23" ht="20.100000000000001" customHeight="1" x14ac:dyDescent="0.25">
      <c r="B86" s="175">
        <v>42353</v>
      </c>
      <c r="C86" s="212">
        <v>2043.41</v>
      </c>
      <c r="D86" s="174">
        <f t="shared" si="24"/>
        <v>1.0618514891638736E-2</v>
      </c>
      <c r="E86" s="213">
        <f t="shared" si="26"/>
        <v>-2.8076901124407819E-2</v>
      </c>
      <c r="F86" s="223">
        <v>4986.99</v>
      </c>
      <c r="G86" s="174">
        <f t="shared" si="21"/>
        <v>2.3688364579120911E-2</v>
      </c>
      <c r="H86" s="207">
        <f t="shared" si="27"/>
        <v>-2.0564840819372713E-2</v>
      </c>
      <c r="I86" s="225">
        <v>315111.13</v>
      </c>
      <c r="J86" s="176">
        <v>400000</v>
      </c>
      <c r="K86" s="176">
        <f t="shared" si="16"/>
        <v>-2016.6199999999953</v>
      </c>
      <c r="L86" s="174">
        <f t="shared" si="25"/>
        <v>-6.3590146242326487E-3</v>
      </c>
      <c r="M86" s="186">
        <f t="shared" si="18"/>
        <v>-84888.87</v>
      </c>
      <c r="N86" s="188">
        <f t="shared" si="19"/>
        <v>-0.21222217499999999</v>
      </c>
      <c r="O86" s="186" t="b">
        <f t="shared" si="17"/>
        <v>0</v>
      </c>
      <c r="P86" s="188">
        <f>COUNTIF(O$2:O86, TRUE)/(COUNTIF(O$2:O86,FALSE) + COUNTIF(O$2:O86, TRUE))</f>
        <v>0.43529411764705883</v>
      </c>
      <c r="Q86" s="342"/>
      <c r="R86" s="342"/>
      <c r="S86" s="342"/>
      <c r="T86" s="342"/>
      <c r="U86" s="188">
        <f>STDEV(D$2:D86)*SQRT(252)</f>
        <v>0.20447942963510182</v>
      </c>
      <c r="V86" s="188">
        <f>STDEV(L$2:L86)*SQRT(252)</f>
        <v>0.30203167512176549</v>
      </c>
      <c r="W86" s="186">
        <f t="shared" si="23"/>
        <v>-0.70264873680696449</v>
      </c>
    </row>
    <row r="87" spans="2:23" ht="20.100000000000001" customHeight="1" x14ac:dyDescent="0.25">
      <c r="B87" s="175">
        <v>42354</v>
      </c>
      <c r="C87" s="212">
        <v>2073.0700000000002</v>
      </c>
      <c r="D87" s="174">
        <f t="shared" si="24"/>
        <v>1.4514952946300586E-2</v>
      </c>
      <c r="E87" s="213">
        <f t="shared" si="26"/>
        <v>-1.3969483076805945E-2</v>
      </c>
      <c r="F87" s="223">
        <v>4992.63</v>
      </c>
      <c r="G87" s="174">
        <f t="shared" si="21"/>
        <v>1.1309427129391331E-3</v>
      </c>
      <c r="H87" s="207">
        <f t="shared" si="27"/>
        <v>-1.9457155763301003E-2</v>
      </c>
      <c r="I87" s="225">
        <v>320067.34000000003</v>
      </c>
      <c r="J87" s="176">
        <v>400000</v>
      </c>
      <c r="K87" s="176">
        <f t="shared" si="16"/>
        <v>4956.210000000021</v>
      </c>
      <c r="L87" s="174">
        <f t="shared" si="25"/>
        <v>1.5728451102314352E-2</v>
      </c>
      <c r="M87" s="186">
        <f t="shared" si="18"/>
        <v>-79932.659999999974</v>
      </c>
      <c r="N87" s="188">
        <f t="shared" si="19"/>
        <v>-0.19983164999999994</v>
      </c>
      <c r="O87" s="186" t="b">
        <f t="shared" si="17"/>
        <v>1</v>
      </c>
      <c r="P87" s="188">
        <f>COUNTIF(O$2:O87, TRUE)/(COUNTIF(O$2:O87,FALSE) + COUNTIF(O$2:O87, TRUE))</f>
        <v>0.44186046511627908</v>
      </c>
      <c r="Q87" s="342"/>
      <c r="R87" s="342"/>
      <c r="S87" s="342"/>
      <c r="T87" s="342"/>
      <c r="U87" s="188">
        <f>STDEV(D$2:D87)*SQRT(252)</f>
        <v>0.20484383238315154</v>
      </c>
      <c r="V87" s="188">
        <f>STDEV(L$2:L87)*SQRT(252)</f>
        <v>0.30170012255410639</v>
      </c>
      <c r="W87" s="186">
        <f t="shared" si="23"/>
        <v>-0.66235190197565297</v>
      </c>
    </row>
    <row r="88" spans="2:23" ht="20.100000000000001" customHeight="1" x14ac:dyDescent="0.25">
      <c r="B88" s="175">
        <v>42355</v>
      </c>
      <c r="C88" s="212">
        <v>2041.89</v>
      </c>
      <c r="D88" s="174">
        <f t="shared" si="24"/>
        <v>-1.5040495497016531E-2</v>
      </c>
      <c r="E88" s="213">
        <f t="shared" si="26"/>
        <v>-2.8799870626510127E-2</v>
      </c>
      <c r="F88" s="223">
        <v>5002.55</v>
      </c>
      <c r="G88" s="174">
        <f t="shared" si="21"/>
        <v>1.9869287329523865E-3</v>
      </c>
      <c r="H88" s="207">
        <f t="shared" si="27"/>
        <v>-1.7508887012196248E-2</v>
      </c>
      <c r="I88" s="225">
        <v>314862.69</v>
      </c>
      <c r="J88" s="176">
        <v>400000</v>
      </c>
      <c r="K88" s="176">
        <f t="shared" ref="K88:K119" si="28">I88-I87-J88+J87</f>
        <v>-5204.6500000000233</v>
      </c>
      <c r="L88" s="174">
        <f t="shared" si="25"/>
        <v>-1.6261109302811161E-2</v>
      </c>
      <c r="M88" s="186">
        <f t="shared" si="18"/>
        <v>-85137.31</v>
      </c>
      <c r="N88" s="188">
        <f t="shared" si="19"/>
        <v>-0.212843275</v>
      </c>
      <c r="O88" s="186" t="b">
        <f t="shared" si="17"/>
        <v>0</v>
      </c>
      <c r="P88" s="188">
        <f>COUNTIF(O$2:O88, TRUE)/(COUNTIF(O$2:O88,FALSE) + COUNTIF(O$2:O88, TRUE))</f>
        <v>0.43678160919540232</v>
      </c>
      <c r="Q88" s="342"/>
      <c r="R88" s="342"/>
      <c r="S88" s="342"/>
      <c r="T88" s="342"/>
      <c r="U88" s="188">
        <f>STDEV(D$2:D88)*SQRT(252)</f>
        <v>0.20523864420055984</v>
      </c>
      <c r="V88" s="188">
        <f>STDEV(L$2:L88)*SQRT(252)</f>
        <v>0.30100381031831397</v>
      </c>
      <c r="W88" s="186">
        <f t="shared" si="23"/>
        <v>-0.70711156372046091</v>
      </c>
    </row>
    <row r="89" spans="2:23" ht="20.100000000000001" customHeight="1" x14ac:dyDescent="0.25">
      <c r="B89" s="175">
        <v>42356</v>
      </c>
      <c r="C89" s="212">
        <v>2005.52</v>
      </c>
      <c r="D89" s="174">
        <f t="shared" si="24"/>
        <v>-1.7811929144077358E-2</v>
      </c>
      <c r="E89" s="213">
        <f t="shared" si="26"/>
        <v>-4.609881851562949E-2</v>
      </c>
      <c r="F89" s="223">
        <v>4923.08</v>
      </c>
      <c r="G89" s="174">
        <f t="shared" si="21"/>
        <v>-1.5885898191922172E-2</v>
      </c>
      <c r="H89" s="207">
        <f t="shared" si="27"/>
        <v>-3.3116640807588804E-2</v>
      </c>
      <c r="I89" s="225">
        <v>315502.05</v>
      </c>
      <c r="J89" s="176">
        <v>400000</v>
      </c>
      <c r="K89" s="176">
        <f t="shared" si="28"/>
        <v>639.35999999998603</v>
      </c>
      <c r="L89" s="174">
        <f t="shared" si="25"/>
        <v>2.0305994336769022E-3</v>
      </c>
      <c r="M89" s="186">
        <f t="shared" si="18"/>
        <v>-84497.950000000012</v>
      </c>
      <c r="N89" s="188">
        <f t="shared" si="19"/>
        <v>-0.21124487500000003</v>
      </c>
      <c r="O89" s="186" t="b">
        <f t="shared" si="17"/>
        <v>1</v>
      </c>
      <c r="P89" s="188">
        <f>COUNTIF(O$2:O89, TRUE)/(COUNTIF(O$2:O89,FALSE) + COUNTIF(O$2:O89, TRUE))</f>
        <v>0.44318181818181818</v>
      </c>
      <c r="Q89" s="342"/>
      <c r="R89" s="342"/>
      <c r="S89" s="342"/>
      <c r="T89" s="342"/>
      <c r="U89" s="188">
        <f>STDEV(D$2:D89)*SQRT(252)</f>
        <v>0.20621771492919441</v>
      </c>
      <c r="V89" s="188">
        <f>STDEV(L$2:L89)*SQRT(252)</f>
        <v>0.29930992001467371</v>
      </c>
      <c r="W89" s="186">
        <f t="shared" si="23"/>
        <v>-0.70577304951885234</v>
      </c>
    </row>
    <row r="90" spans="2:23" ht="20.100000000000001" customHeight="1" x14ac:dyDescent="0.25">
      <c r="B90" s="170">
        <v>42359</v>
      </c>
      <c r="C90" s="202">
        <v>2021.15</v>
      </c>
      <c r="D90" s="174">
        <f t="shared" si="24"/>
        <v>7.7934899676892324E-3</v>
      </c>
      <c r="E90" s="203">
        <f t="shared" si="26"/>
        <v>-3.8664599227564142E-2</v>
      </c>
      <c r="F90" s="220">
        <v>4968.92</v>
      </c>
      <c r="G90" s="174">
        <f t="shared" si="21"/>
        <v>9.3112441804724163E-3</v>
      </c>
      <c r="H90" s="205">
        <f t="shared" si="27"/>
        <v>-2.4113753756112841E-2</v>
      </c>
      <c r="I90" s="224">
        <v>320825.06</v>
      </c>
      <c r="J90" s="172">
        <v>400000</v>
      </c>
      <c r="K90" s="172">
        <f t="shared" si="28"/>
        <v>5323.0100000000093</v>
      </c>
      <c r="L90" s="174">
        <f t="shared" si="25"/>
        <v>1.6871554400359711E-2</v>
      </c>
      <c r="M90" s="179">
        <f t="shared" si="18"/>
        <v>-79174.94</v>
      </c>
      <c r="N90" s="187">
        <f t="shared" si="19"/>
        <v>-0.19793735000000001</v>
      </c>
      <c r="O90" s="179" t="b">
        <f t="shared" si="17"/>
        <v>1</v>
      </c>
      <c r="P90" s="187">
        <f>COUNTIF(O$2:O90, TRUE)/(COUNTIF(O$2:O90,FALSE) + COUNTIF(O$2:O90, TRUE))</f>
        <v>0.449438202247191</v>
      </c>
      <c r="Q90" s="341"/>
      <c r="R90" s="341"/>
      <c r="S90" s="341"/>
      <c r="T90" s="341"/>
      <c r="U90" s="187">
        <f>STDEV(D$2:D90)*SQRT(252)</f>
        <v>0.20550415563548391</v>
      </c>
      <c r="V90" s="187">
        <f>STDEV(L$2:L90)*SQRT(252)</f>
        <v>0.29920187088435746</v>
      </c>
      <c r="W90" s="179">
        <f t="shared" si="23"/>
        <v>-0.6615511775208901</v>
      </c>
    </row>
    <row r="91" spans="2:23" ht="20.100000000000001" customHeight="1" x14ac:dyDescent="0.25">
      <c r="B91" s="170">
        <v>42360</v>
      </c>
      <c r="C91" s="202">
        <v>2038.97</v>
      </c>
      <c r="D91" s="174">
        <f t="shared" si="24"/>
        <v>8.8167627340869983E-3</v>
      </c>
      <c r="E91" s="203">
        <f t="shared" si="26"/>
        <v>-3.0188733091075143E-2</v>
      </c>
      <c r="F91" s="220">
        <v>5001.1099999999997</v>
      </c>
      <c r="G91" s="174">
        <f t="shared" si="21"/>
        <v>6.4782689196041798E-3</v>
      </c>
      <c r="H91" s="205">
        <f t="shared" si="27"/>
        <v>-1.7791700218001874E-2</v>
      </c>
      <c r="I91" s="224">
        <v>321902.78000000003</v>
      </c>
      <c r="J91" s="172">
        <v>400000</v>
      </c>
      <c r="K91" s="172">
        <f t="shared" si="28"/>
        <v>1077.7200000000303</v>
      </c>
      <c r="L91" s="174">
        <f t="shared" si="25"/>
        <v>3.3592138968197506E-3</v>
      </c>
      <c r="M91" s="179">
        <f t="shared" si="18"/>
        <v>-78097.219999999972</v>
      </c>
      <c r="N91" s="187">
        <f t="shared" si="19"/>
        <v>-0.19524304999999992</v>
      </c>
      <c r="O91" s="179" t="b">
        <f t="shared" ref="O91:O122" si="29">L91&gt;D91</f>
        <v>0</v>
      </c>
      <c r="P91" s="187">
        <f>COUNTIF(O$2:O91, TRUE)/(COUNTIF(O$2:O91,FALSE) + COUNTIF(O$2:O91, TRUE))</f>
        <v>0.44444444444444442</v>
      </c>
      <c r="Q91" s="341"/>
      <c r="R91" s="341"/>
      <c r="S91" s="341"/>
      <c r="T91" s="341"/>
      <c r="U91" s="187">
        <f>STDEV(D$2:D91)*SQRT(252)</f>
        <v>0.20491645962952909</v>
      </c>
      <c r="V91" s="187">
        <f>STDEV(L$2:L91)*SQRT(252)</f>
        <v>0.29759929719842121</v>
      </c>
      <c r="W91" s="179">
        <f t="shared" si="23"/>
        <v>-0.65606018508109465</v>
      </c>
    </row>
    <row r="92" spans="2:23" ht="20.100000000000001" customHeight="1" x14ac:dyDescent="0.25">
      <c r="B92" s="170">
        <v>42361</v>
      </c>
      <c r="C92" s="202">
        <v>2064.29</v>
      </c>
      <c r="D92" s="174">
        <f t="shared" si="24"/>
        <v>1.2418034595898879E-2</v>
      </c>
      <c r="E92" s="203">
        <f t="shared" si="26"/>
        <v>-1.8145583227107593E-2</v>
      </c>
      <c r="F92" s="220">
        <v>5045.93</v>
      </c>
      <c r="G92" s="174">
        <f t="shared" si="21"/>
        <v>8.9620104336838469E-3</v>
      </c>
      <c r="H92" s="205">
        <f t="shared" si="27"/>
        <v>-8.9891391873047361E-3</v>
      </c>
      <c r="I92" s="224">
        <v>330734.09999999998</v>
      </c>
      <c r="J92" s="172">
        <v>400000</v>
      </c>
      <c r="K92" s="172">
        <f t="shared" si="28"/>
        <v>8831.3199999999488</v>
      </c>
      <c r="L92" s="174">
        <f t="shared" si="25"/>
        <v>2.7434742874851679E-2</v>
      </c>
      <c r="M92" s="179">
        <f t="shared" si="18"/>
        <v>-69265.900000000023</v>
      </c>
      <c r="N92" s="187">
        <f t="shared" si="19"/>
        <v>-0.17316475000000006</v>
      </c>
      <c r="O92" s="179" t="b">
        <f t="shared" si="29"/>
        <v>1</v>
      </c>
      <c r="P92" s="187">
        <f>COUNTIF(O$2:O92, TRUE)/(COUNTIF(O$2:O92,FALSE) + COUNTIF(O$2:O92, TRUE))</f>
        <v>0.45054945054945056</v>
      </c>
      <c r="Q92" s="341"/>
      <c r="R92" s="341"/>
      <c r="S92" s="341"/>
      <c r="T92" s="341"/>
      <c r="U92" s="187">
        <f>STDEV(D$2:D92)*SQRT(252)</f>
        <v>0.20486368921422393</v>
      </c>
      <c r="V92" s="187">
        <f>STDEV(L$2:L92)*SQRT(252)</f>
        <v>0.29978352577242878</v>
      </c>
      <c r="W92" s="179">
        <f t="shared" si="23"/>
        <v>-0.57763264193327502</v>
      </c>
    </row>
    <row r="93" spans="2:23" ht="20.100000000000001" customHeight="1" x14ac:dyDescent="0.25">
      <c r="B93" s="170">
        <v>42362</v>
      </c>
      <c r="C93" s="208">
        <v>2060.9899999999998</v>
      </c>
      <c r="D93" s="174">
        <f t="shared" si="24"/>
        <v>-1.5986125980362168E-3</v>
      </c>
      <c r="E93" s="203">
        <f t="shared" si="26"/>
        <v>-1.9715188067198242E-2</v>
      </c>
      <c r="F93" s="220">
        <v>5048.49</v>
      </c>
      <c r="G93" s="174">
        <f t="shared" si="21"/>
        <v>5.0733957863059742E-4</v>
      </c>
      <c r="H93" s="205">
        <f t="shared" si="27"/>
        <v>-8.4863601547616793E-3</v>
      </c>
      <c r="I93" s="224">
        <v>331472.32</v>
      </c>
      <c r="J93" s="172">
        <v>400000</v>
      </c>
      <c r="K93" s="172">
        <f t="shared" si="28"/>
        <v>738.22000000003027</v>
      </c>
      <c r="L93" s="174">
        <f t="shared" si="25"/>
        <v>2.2320649730403676E-3</v>
      </c>
      <c r="M93" s="179">
        <f t="shared" si="18"/>
        <v>-68527.679999999993</v>
      </c>
      <c r="N93" s="187">
        <f t="shared" si="19"/>
        <v>-0.17131919999999998</v>
      </c>
      <c r="O93" s="179" t="b">
        <f t="shared" si="29"/>
        <v>1</v>
      </c>
      <c r="P93" s="187">
        <f>COUNTIF(O$2:O93, TRUE)/(COUNTIF(O$2:O93,FALSE) + COUNTIF(O$2:O93, TRUE))</f>
        <v>0.45652173913043476</v>
      </c>
      <c r="Q93" s="341"/>
      <c r="R93" s="341"/>
      <c r="S93" s="341"/>
      <c r="T93" s="341"/>
      <c r="U93" s="187">
        <f>STDEV(D$2:D93)*SQRT(252)</f>
        <v>0.20373721805124861</v>
      </c>
      <c r="V93" s="187">
        <f>STDEV(L$2:L93)*SQRT(252)</f>
        <v>0.29815917239051543</v>
      </c>
      <c r="W93" s="179">
        <f t="shared" si="23"/>
        <v>-0.57458973549743364</v>
      </c>
    </row>
    <row r="94" spans="2:23" ht="20.100000000000001" customHeight="1" x14ac:dyDescent="0.25">
      <c r="B94" s="175">
        <v>42366</v>
      </c>
      <c r="C94" s="219">
        <v>2056.5</v>
      </c>
      <c r="D94" s="174">
        <f t="shared" si="24"/>
        <v>-2.178564670376752E-3</v>
      </c>
      <c r="E94" s="213">
        <f t="shared" si="26"/>
        <v>-2.1850801925381962E-2</v>
      </c>
      <c r="F94" s="223">
        <v>5040.99</v>
      </c>
      <c r="G94" s="174">
        <f t="shared" si="21"/>
        <v>-1.4855927217841374E-3</v>
      </c>
      <c r="H94" s="207">
        <f t="shared" si="27"/>
        <v>-9.9593456016654636E-3</v>
      </c>
      <c r="I94" s="225">
        <v>324433.87</v>
      </c>
      <c r="J94" s="176">
        <v>400000</v>
      </c>
      <c r="K94" s="176">
        <f t="shared" si="28"/>
        <v>-7038.4500000000116</v>
      </c>
      <c r="L94" s="174">
        <f t="shared" si="25"/>
        <v>-2.1233899711445021E-2</v>
      </c>
      <c r="M94" s="186">
        <f t="shared" ref="M94:M125" si="30">I94-J94</f>
        <v>-75566.13</v>
      </c>
      <c r="N94" s="188">
        <f t="shared" ref="N94:N125" si="31">M94/J94</f>
        <v>-0.18891532500000002</v>
      </c>
      <c r="O94" s="186" t="b">
        <f t="shared" si="29"/>
        <v>0</v>
      </c>
      <c r="P94" s="188">
        <f>COUNTIF(O$2:O94, TRUE)/(COUNTIF(O$2:O94,FALSE) + COUNTIF(O$2:O94, TRUE))</f>
        <v>0.45161290322580644</v>
      </c>
      <c r="Q94" s="342"/>
      <c r="R94" s="342"/>
      <c r="S94" s="342"/>
      <c r="T94" s="342"/>
      <c r="U94" s="188">
        <f>STDEV(D$2:D94)*SQRT(252)</f>
        <v>0.20264285644820698</v>
      </c>
      <c r="V94" s="188">
        <f>STDEV(L$2:L94)*SQRT(252)</f>
        <v>0.29842518034690152</v>
      </c>
      <c r="W94" s="186">
        <f t="shared" si="23"/>
        <v>-0.63304083382105092</v>
      </c>
    </row>
    <row r="95" spans="2:23" ht="20.100000000000001" customHeight="1" x14ac:dyDescent="0.25">
      <c r="B95" s="175">
        <v>42367</v>
      </c>
      <c r="C95" s="212">
        <v>2078.36</v>
      </c>
      <c r="D95" s="174">
        <f t="shared" si="24"/>
        <v>1.0629710673474412E-2</v>
      </c>
      <c r="E95" s="213">
        <f t="shared" si="26"/>
        <v>-1.1453358954357758E-2</v>
      </c>
      <c r="F95" s="223">
        <v>5107.9399999999996</v>
      </c>
      <c r="G95" s="174">
        <f t="shared" si="21"/>
        <v>1.3281121367033027E-2</v>
      </c>
      <c r="H95" s="207">
        <f t="shared" si="27"/>
        <v>3.1895044876956188E-3</v>
      </c>
      <c r="I95" s="225">
        <v>326263</v>
      </c>
      <c r="J95" s="176">
        <v>400000</v>
      </c>
      <c r="K95" s="176">
        <f t="shared" si="28"/>
        <v>1829.1300000000047</v>
      </c>
      <c r="L95" s="174">
        <f t="shared" si="25"/>
        <v>5.6379132055478813E-3</v>
      </c>
      <c r="M95" s="186">
        <f t="shared" si="30"/>
        <v>-73737</v>
      </c>
      <c r="N95" s="188">
        <f t="shared" si="31"/>
        <v>-0.18434249999999999</v>
      </c>
      <c r="O95" s="186" t="b">
        <f t="shared" si="29"/>
        <v>0</v>
      </c>
      <c r="P95" s="188">
        <f>COUNTIF(O$2:O95, TRUE)/(COUNTIF(O$2:O95,FALSE) + COUNTIF(O$2:O95, TRUE))</f>
        <v>0.44680851063829785</v>
      </c>
      <c r="Q95" s="342"/>
      <c r="R95" s="342"/>
      <c r="S95" s="342"/>
      <c r="T95" s="342"/>
      <c r="U95" s="188">
        <f>STDEV(D$2:D95)*SQRT(252)</f>
        <v>0.2023195411541808</v>
      </c>
      <c r="V95" s="188">
        <f>STDEV(L$2:L95)*SQRT(252)</f>
        <v>0.29700566198828871</v>
      </c>
      <c r="W95" s="186">
        <f t="shared" si="23"/>
        <v>-0.620669985770402</v>
      </c>
    </row>
    <row r="96" spans="2:23" ht="20.100000000000001" customHeight="1" x14ac:dyDescent="0.25">
      <c r="B96" s="175">
        <v>42368</v>
      </c>
      <c r="C96" s="212">
        <v>2063.36</v>
      </c>
      <c r="D96" s="174">
        <f t="shared" si="24"/>
        <v>-7.2172289689947837E-3</v>
      </c>
      <c r="E96" s="213">
        <f>(C96-$C$2)/$C$2</f>
        <v>-1.8587926409314857E-2</v>
      </c>
      <c r="F96" s="223">
        <v>5065.84</v>
      </c>
      <c r="G96" s="174">
        <f t="shared" si="21"/>
        <v>-8.242070188764836E-3</v>
      </c>
      <c r="H96" s="207">
        <f t="shared" si="27"/>
        <v>-5.0788538209241849E-3</v>
      </c>
      <c r="I96" s="225">
        <v>318053.19</v>
      </c>
      <c r="J96" s="176">
        <v>400000</v>
      </c>
      <c r="K96" s="176">
        <f t="shared" si="28"/>
        <v>-8209.8099999999977</v>
      </c>
      <c r="L96" s="174">
        <f t="shared" si="25"/>
        <v>-2.5163165912162881E-2</v>
      </c>
      <c r="M96" s="186">
        <f t="shared" si="30"/>
        <v>-81946.81</v>
      </c>
      <c r="N96" s="188">
        <f t="shared" si="31"/>
        <v>-0.20486702499999998</v>
      </c>
      <c r="O96" s="186" t="b">
        <f t="shared" si="29"/>
        <v>0</v>
      </c>
      <c r="P96" s="188">
        <f>COUNTIF(O$2:O96, TRUE)/(COUNTIF(O$2:O96,FALSE) + COUNTIF(O$2:O96, TRUE))</f>
        <v>0.44210526315789472</v>
      </c>
      <c r="Q96" s="342"/>
      <c r="R96" s="342"/>
      <c r="S96" s="342"/>
      <c r="T96" s="342"/>
      <c r="U96" s="188">
        <f>STDEV(D$2:D96)*SQRT(252)</f>
        <v>0.20157138397467259</v>
      </c>
      <c r="V96" s="188">
        <f>STDEV(L$2:L96)*SQRT(252)</f>
        <v>0.29803742324397353</v>
      </c>
      <c r="W96" s="186">
        <f t="shared" si="23"/>
        <v>-0.68738691527438067</v>
      </c>
    </row>
    <row r="97" spans="2:23" ht="20.100000000000001" customHeight="1" x14ac:dyDescent="0.25">
      <c r="B97" s="175">
        <v>42369</v>
      </c>
      <c r="C97" s="212">
        <v>2043.94</v>
      </c>
      <c r="D97" s="174">
        <f t="shared" si="24"/>
        <v>-9.4118331265509031E-3</v>
      </c>
      <c r="E97" s="213">
        <f>(C97-$C$2)/$C$2</f>
        <v>-2.7824813074332679E-2</v>
      </c>
      <c r="F97" s="223">
        <v>5007.41</v>
      </c>
      <c r="G97" s="174">
        <f t="shared" si="21"/>
        <v>-1.1534118724634076E-2</v>
      </c>
      <c r="H97" s="207">
        <f t="shared" si="27"/>
        <v>-1.655439244260266E-2</v>
      </c>
      <c r="I97" s="422">
        <v>320884.32</v>
      </c>
      <c r="J97" s="176">
        <v>400000</v>
      </c>
      <c r="K97" s="176">
        <f t="shared" si="28"/>
        <v>2831.1300000000047</v>
      </c>
      <c r="L97" s="174">
        <f t="shared" si="25"/>
        <v>8.9014356372278634E-3</v>
      </c>
      <c r="M97" s="186">
        <f t="shared" si="30"/>
        <v>-79115.679999999993</v>
      </c>
      <c r="N97" s="188">
        <f t="shared" si="31"/>
        <v>-0.19778919999999997</v>
      </c>
      <c r="O97" s="186" t="b">
        <f t="shared" si="29"/>
        <v>1</v>
      </c>
      <c r="P97" s="188">
        <f>COUNTIF(O$2:O97, TRUE)/(COUNTIF(O$2:O97,FALSE) + COUNTIF(O$2:O97, TRUE))</f>
        <v>0.44791666666666669</v>
      </c>
      <c r="Q97" s="342"/>
      <c r="R97" s="342"/>
      <c r="S97" s="342"/>
      <c r="T97" s="342"/>
      <c r="U97" s="188">
        <f>STDEV(D$2:D97)*SQRT(252)</f>
        <v>0.20106669704355981</v>
      </c>
      <c r="V97" s="188">
        <f>STDEV(L$2:L97)*SQRT(252)</f>
        <v>0.29691114338787766</v>
      </c>
      <c r="W97" s="186">
        <f t="shared" si="23"/>
        <v>-0.66615620331101166</v>
      </c>
    </row>
    <row r="98" spans="2:23" ht="20.100000000000001" customHeight="1" x14ac:dyDescent="0.25">
      <c r="B98" s="170">
        <v>42373</v>
      </c>
      <c r="C98" s="202">
        <v>2012.66</v>
      </c>
      <c r="D98" s="174">
        <f t="shared" si="24"/>
        <v>-1.5303776040392561E-2</v>
      </c>
      <c r="E98" s="203">
        <f t="shared" ref="E98:E103" si="32">(C98-$C$2)/$C$2</f>
        <v>-4.2702764407069868E-2</v>
      </c>
      <c r="F98" s="220">
        <v>4903.08</v>
      </c>
      <c r="G98" s="174">
        <f t="shared" si="21"/>
        <v>-2.0835122348679243E-2</v>
      </c>
      <c r="H98" s="205">
        <f t="shared" si="27"/>
        <v>-3.7044601999332225E-2</v>
      </c>
      <c r="I98" s="224">
        <v>323756.46999999997</v>
      </c>
      <c r="J98" s="172">
        <v>400000</v>
      </c>
      <c r="K98" s="172">
        <f t="shared" si="28"/>
        <v>2872.1499999999651</v>
      </c>
      <c r="L98" s="174">
        <f t="shared" si="25"/>
        <v>8.950733398253816E-3</v>
      </c>
      <c r="M98" s="179">
        <f t="shared" si="30"/>
        <v>-76243.530000000028</v>
      </c>
      <c r="N98" s="187">
        <f t="shared" si="31"/>
        <v>-0.19060882500000007</v>
      </c>
      <c r="O98" s="179" t="b">
        <f t="shared" si="29"/>
        <v>1</v>
      </c>
      <c r="P98" s="187">
        <f>COUNTIF(O$2:O98, TRUE)/(COUNTIF(O$2:O98,FALSE) + COUNTIF(O$2:O98, TRUE))</f>
        <v>0.45360824742268041</v>
      </c>
      <c r="Q98" s="341"/>
      <c r="R98" s="341"/>
      <c r="S98" s="341"/>
      <c r="T98" s="341"/>
      <c r="U98" s="187">
        <f>STDEV(D$2:D98)*SQRT(252)</f>
        <v>0.20149367115092381</v>
      </c>
      <c r="V98" s="187">
        <f>STDEV(L$2:L98)*SQRT(252)</f>
        <v>0.29579926006722401</v>
      </c>
      <c r="W98" s="179">
        <f t="shared" si="23"/>
        <v>-0.6443857396961773</v>
      </c>
    </row>
    <row r="99" spans="2:23" ht="20.100000000000001" customHeight="1" x14ac:dyDescent="0.25">
      <c r="B99" s="170">
        <v>42374</v>
      </c>
      <c r="C99" s="202">
        <v>2016.71</v>
      </c>
      <c r="D99" s="174">
        <f t="shared" si="24"/>
        <v>2.0122623791400209E-3</v>
      </c>
      <c r="E99" s="203">
        <f t="shared" si="32"/>
        <v>-4.0776431194231473E-2</v>
      </c>
      <c r="F99" s="220">
        <v>4891.43</v>
      </c>
      <c r="G99" s="174">
        <f t="shared" si="21"/>
        <v>-2.3760574985518565E-3</v>
      </c>
      <c r="H99" s="205">
        <f t="shared" si="27"/>
        <v>-3.9332639393522703E-2</v>
      </c>
      <c r="I99" s="224">
        <v>326120.51</v>
      </c>
      <c r="J99" s="172">
        <v>400000</v>
      </c>
      <c r="K99" s="172">
        <f t="shared" si="28"/>
        <v>2364.0400000000373</v>
      </c>
      <c r="L99" s="174">
        <f t="shared" si="25"/>
        <v>7.3019081286623787E-3</v>
      </c>
      <c r="M99" s="179">
        <f t="shared" si="30"/>
        <v>-73879.489999999991</v>
      </c>
      <c r="N99" s="187">
        <f t="shared" si="31"/>
        <v>-0.18469872499999998</v>
      </c>
      <c r="O99" s="179" t="b">
        <f t="shared" si="29"/>
        <v>1</v>
      </c>
      <c r="P99" s="187">
        <f>COUNTIF(O$2:O99, TRUE)/(COUNTIF(O$2:O99,FALSE) + COUNTIF(O$2:O99, TRUE))</f>
        <v>0.45918367346938777</v>
      </c>
      <c r="Q99" s="341"/>
      <c r="R99" s="341"/>
      <c r="S99" s="341"/>
      <c r="T99" s="341"/>
      <c r="U99" s="187">
        <f>STDEV(D$2:D99)*SQRT(252)</f>
        <v>0.20047839614181759</v>
      </c>
      <c r="V99" s="187">
        <f>STDEV(L$2:L99)*SQRT(252)</f>
        <v>0.29456352660323443</v>
      </c>
      <c r="W99" s="179">
        <f t="shared" si="23"/>
        <v>-0.62702510093444785</v>
      </c>
    </row>
    <row r="100" spans="2:23" ht="20.100000000000001" customHeight="1" x14ac:dyDescent="0.25">
      <c r="B100" s="170">
        <v>42375</v>
      </c>
      <c r="C100" s="202">
        <v>1990.26</v>
      </c>
      <c r="D100" s="174">
        <f t="shared" si="24"/>
        <v>-1.3115420660382527E-2</v>
      </c>
      <c r="E100" s="203">
        <f t="shared" si="32"/>
        <v>-5.3357051806472509E-2</v>
      </c>
      <c r="F100" s="220">
        <v>4835.76</v>
      </c>
      <c r="G100" s="174">
        <f t="shared" si="21"/>
        <v>-1.1381129853641996E-2</v>
      </c>
      <c r="H100" s="205">
        <f t="shared" si="27"/>
        <v>-5.026611937074054E-2</v>
      </c>
      <c r="I100" s="224">
        <v>307215.3</v>
      </c>
      <c r="J100" s="172">
        <v>400000</v>
      </c>
      <c r="K100" s="172">
        <f t="shared" si="28"/>
        <v>-18905.210000000021</v>
      </c>
      <c r="L100" s="174">
        <f t="shared" si="25"/>
        <v>-5.7970012373646844E-2</v>
      </c>
      <c r="M100" s="179">
        <f t="shared" si="30"/>
        <v>-92784.700000000012</v>
      </c>
      <c r="N100" s="187">
        <f t="shared" si="31"/>
        <v>-0.23196175000000002</v>
      </c>
      <c r="O100" s="179" t="b">
        <f t="shared" si="29"/>
        <v>0</v>
      </c>
      <c r="P100" s="187">
        <f>COUNTIF(O$2:O100, TRUE)/(COUNTIF(O$2:O100,FALSE) + COUNTIF(O$2:O100, TRUE))</f>
        <v>0.45454545454545453</v>
      </c>
      <c r="Q100" s="341"/>
      <c r="R100" s="341"/>
      <c r="S100" s="341"/>
      <c r="T100" s="341"/>
      <c r="U100" s="187">
        <f>STDEV(D$2:D100)*SQRT(252)</f>
        <v>0.20049006957671658</v>
      </c>
      <c r="V100" s="187">
        <f>STDEV(L$2:L100)*SQRT(252)</f>
        <v>0.30696087260477756</v>
      </c>
      <c r="W100" s="179">
        <f t="shared" si="23"/>
        <v>-0.75567204390462683</v>
      </c>
    </row>
    <row r="101" spans="2:23" ht="20.100000000000001" customHeight="1" x14ac:dyDescent="0.25">
      <c r="B101" s="170">
        <v>42376</v>
      </c>
      <c r="C101" s="208">
        <v>1943.09</v>
      </c>
      <c r="D101" s="174">
        <f t="shared" si="24"/>
        <v>-2.3700421050516049E-2</v>
      </c>
      <c r="E101" s="203">
        <f t="shared" si="32"/>
        <v>-7.5792888263160968E-2</v>
      </c>
      <c r="F101" s="220">
        <v>4689.42</v>
      </c>
      <c r="G101" s="174">
        <f t="shared" si="21"/>
        <v>-3.0262047744304958E-2</v>
      </c>
      <c r="H101" s="205">
        <f t="shared" si="27"/>
        <v>-7.9007011410727218E-2</v>
      </c>
      <c r="I101" s="224">
        <v>296450.84999999998</v>
      </c>
      <c r="J101" s="172">
        <v>400000</v>
      </c>
      <c r="K101" s="172">
        <f t="shared" si="28"/>
        <v>-10764.450000000012</v>
      </c>
      <c r="L101" s="174">
        <f t="shared" si="25"/>
        <v>-3.503878224814979E-2</v>
      </c>
      <c r="M101" s="179">
        <f t="shared" si="30"/>
        <v>-103549.15000000002</v>
      </c>
      <c r="N101" s="187">
        <f t="shared" si="31"/>
        <v>-0.25887287500000006</v>
      </c>
      <c r="O101" s="179" t="b">
        <f t="shared" si="29"/>
        <v>0</v>
      </c>
      <c r="P101" s="187">
        <f>COUNTIF(O$2:O101, TRUE)/(COUNTIF(O$2:O101,FALSE) + COUNTIF(O$2:O101, TRUE))</f>
        <v>0.45</v>
      </c>
      <c r="Q101" s="341"/>
      <c r="R101" s="341"/>
      <c r="S101" s="341"/>
      <c r="T101" s="341"/>
      <c r="U101" s="187">
        <f>STDEV(D$2:D101)*SQRT(252)</f>
        <v>0.20287568849216503</v>
      </c>
      <c r="V101" s="187">
        <f>STDEV(L$2:L101)*SQRT(252)</f>
        <v>0.3100263800011836</v>
      </c>
      <c r="W101" s="179">
        <f t="shared" si="23"/>
        <v>-0.83500273428026273</v>
      </c>
    </row>
    <row r="102" spans="2:23" ht="20.100000000000001" customHeight="1" x14ac:dyDescent="0.25">
      <c r="B102" s="170">
        <v>42377</v>
      </c>
      <c r="C102" s="208">
        <v>1922.03</v>
      </c>
      <c r="D102" s="174">
        <f t="shared" si="24"/>
        <v>-1.0838406867412187E-2</v>
      </c>
      <c r="E102" s="203">
        <f t="shared" si="32"/>
        <v>-8.5809820969920694E-2</v>
      </c>
      <c r="F102" s="220">
        <v>4643.63</v>
      </c>
      <c r="G102" s="174">
        <f t="shared" si="21"/>
        <v>-9.7645337802969162E-3</v>
      </c>
      <c r="H102" s="205">
        <f t="shared" si="27"/>
        <v>-8.8000078559223788E-2</v>
      </c>
      <c r="I102" s="224">
        <v>291709.24</v>
      </c>
      <c r="J102" s="172">
        <v>400000</v>
      </c>
      <c r="K102" s="172">
        <f t="shared" si="28"/>
        <v>-4741.609999999986</v>
      </c>
      <c r="L102" s="174">
        <f t="shared" si="25"/>
        <v>-1.5994590671607068E-2</v>
      </c>
      <c r="M102" s="179">
        <f t="shared" si="30"/>
        <v>-108290.76000000001</v>
      </c>
      <c r="N102" s="187">
        <f t="shared" si="31"/>
        <v>-0.27072690000000005</v>
      </c>
      <c r="O102" s="179" t="b">
        <f t="shared" si="29"/>
        <v>0</v>
      </c>
      <c r="P102" s="187">
        <f>COUNTIF(O$2:O102, TRUE)/(COUNTIF(O$2:O102,FALSE) + COUNTIF(O$2:O102, TRUE))</f>
        <v>0.44554455445544555</v>
      </c>
      <c r="Q102" s="341"/>
      <c r="R102" s="341"/>
      <c r="S102" s="341"/>
      <c r="T102" s="341"/>
      <c r="U102" s="187">
        <f>STDEV(D$2:D102)*SQRT(252)</f>
        <v>0.20248720457618641</v>
      </c>
      <c r="V102" s="187">
        <f>STDEV(L$2:L102)*SQRT(252)</f>
        <v>0.30926714125463156</v>
      </c>
      <c r="W102" s="179">
        <f t="shared" si="23"/>
        <v>-0.87538203671336734</v>
      </c>
    </row>
    <row r="103" spans="2:23" ht="20.100000000000001" customHeight="1" x14ac:dyDescent="0.25">
      <c r="B103" s="175">
        <v>42380</v>
      </c>
      <c r="C103" s="219">
        <v>1923.67</v>
      </c>
      <c r="D103" s="174">
        <f t="shared" si="24"/>
        <v>8.5326451720321749E-4</v>
      </c>
      <c r="E103" s="213">
        <f t="shared" si="32"/>
        <v>-8.5029774928178675E-2</v>
      </c>
      <c r="F103" s="223">
        <v>4637.9799999999996</v>
      </c>
      <c r="G103" s="174">
        <f t="shared" si="21"/>
        <v>-1.2167205397502698E-3</v>
      </c>
      <c r="H103" s="207">
        <f t="shared" si="27"/>
        <v>-8.9109727595891405E-2</v>
      </c>
      <c r="I103" s="225">
        <v>278511.46999999997</v>
      </c>
      <c r="J103" s="176">
        <v>400000</v>
      </c>
      <c r="K103" s="176">
        <f t="shared" si="28"/>
        <v>-13197.770000000019</v>
      </c>
      <c r="L103" s="174">
        <f t="shared" si="25"/>
        <v>-4.5242893231630298E-2</v>
      </c>
      <c r="M103" s="186">
        <f t="shared" si="30"/>
        <v>-121488.53000000003</v>
      </c>
      <c r="N103" s="188">
        <f t="shared" si="31"/>
        <v>-0.3037213250000001</v>
      </c>
      <c r="O103" s="186" t="b">
        <f t="shared" si="29"/>
        <v>0</v>
      </c>
      <c r="P103" s="188">
        <f>COUNTIF(O$2:O103, TRUE)/(COUNTIF(O$2:O103,FALSE) + COUNTIF(O$2:O103, TRUE))</f>
        <v>0.44117647058823528</v>
      </c>
      <c r="Q103" s="342"/>
      <c r="R103" s="342"/>
      <c r="S103" s="342"/>
      <c r="T103" s="342"/>
      <c r="U103" s="188">
        <f>STDEV(D$2:D103)*SQRT(252)</f>
        <v>0.20148947946934948</v>
      </c>
      <c r="V103" s="188">
        <f>STDEV(L$2:L103)*SQRT(252)</f>
        <v>0.31519307674971891</v>
      </c>
      <c r="W103" s="186">
        <f t="shared" si="23"/>
        <v>-0.96360404908630648</v>
      </c>
    </row>
    <row r="104" spans="2:23" ht="20.100000000000001" customHeight="1" x14ac:dyDescent="0.25">
      <c r="B104" s="175">
        <v>42381</v>
      </c>
      <c r="C104" s="212">
        <v>1938.68</v>
      </c>
      <c r="D104" s="174">
        <f t="shared" si="24"/>
        <v>7.8027936184480659E-3</v>
      </c>
      <c r="E104" s="213">
        <f>(C104-$C$2)/$C$2</f>
        <v>-7.7890451094918281E-2</v>
      </c>
      <c r="F104" s="223">
        <v>4685.6099999999997</v>
      </c>
      <c r="G104" s="174">
        <f t="shared" si="21"/>
        <v>1.0269557005420487E-2</v>
      </c>
      <c r="H104" s="207">
        <f t="shared" si="27"/>
        <v>-7.9755288017754417E-2</v>
      </c>
      <c r="I104" s="225">
        <v>272280.59000000003</v>
      </c>
      <c r="J104" s="176">
        <v>400000</v>
      </c>
      <c r="K104" s="176">
        <f t="shared" si="28"/>
        <v>-6230.8799999999464</v>
      </c>
      <c r="L104" s="174">
        <f t="shared" si="25"/>
        <v>-2.2372076812491589E-2</v>
      </c>
      <c r="M104" s="186">
        <f t="shared" si="30"/>
        <v>-127719.40999999997</v>
      </c>
      <c r="N104" s="188">
        <f t="shared" si="31"/>
        <v>-0.31929852499999994</v>
      </c>
      <c r="O104" s="186" t="b">
        <f t="shared" si="29"/>
        <v>0</v>
      </c>
      <c r="P104" s="188">
        <f>COUNTIF(O$2:O104, TRUE)/(COUNTIF(O$2:O104,FALSE) + COUNTIF(O$2:O104, TRUE))</f>
        <v>0.43689320388349512</v>
      </c>
      <c r="Q104" s="342"/>
      <c r="R104" s="342"/>
      <c r="S104" s="342"/>
      <c r="T104" s="342"/>
      <c r="U104" s="188">
        <f>STDEV(D$2:D104)*SQRT(252)</f>
        <v>0.20094495344626548</v>
      </c>
      <c r="V104" s="188">
        <f>STDEV(L$2:L104)*SQRT(252)</f>
        <v>0.31518540993187888</v>
      </c>
      <c r="W104" s="186">
        <f t="shared" si="23"/>
        <v>-1.0130498269859953</v>
      </c>
    </row>
    <row r="105" spans="2:23" ht="20.100000000000001" customHeight="1" x14ac:dyDescent="0.25">
      <c r="B105" s="175">
        <v>42382</v>
      </c>
      <c r="C105" s="212">
        <v>1890.28</v>
      </c>
      <c r="D105" s="174">
        <f t="shared" si="24"/>
        <v>-2.4965440402748309E-2</v>
      </c>
      <c r="E105" s="213">
        <f>(C105-$C$2)/$C$2</f>
        <v>-0.10091132208291323</v>
      </c>
      <c r="F105" s="223">
        <v>4526.0600000000004</v>
      </c>
      <c r="G105" s="174">
        <f t="shared" si="21"/>
        <v>-3.4051062721822623E-2</v>
      </c>
      <c r="H105" s="207">
        <f t="shared" si="27"/>
        <v>-0.11109059842488746</v>
      </c>
      <c r="I105" s="225">
        <v>259060.64</v>
      </c>
      <c r="J105" s="176">
        <v>400000</v>
      </c>
      <c r="K105" s="176">
        <f t="shared" si="28"/>
        <v>-13219.950000000012</v>
      </c>
      <c r="L105" s="174">
        <f t="shared" si="25"/>
        <v>-4.8552671345394142E-2</v>
      </c>
      <c r="M105" s="186">
        <f t="shared" si="30"/>
        <v>-140939.35999999999</v>
      </c>
      <c r="N105" s="188">
        <f t="shared" si="31"/>
        <v>-0.35234839999999995</v>
      </c>
      <c r="O105" s="186" t="b">
        <f t="shared" si="29"/>
        <v>0</v>
      </c>
      <c r="P105" s="188">
        <f>COUNTIF(O$2:O105, TRUE)/(COUNTIF(O$2:O105,FALSE) + COUNTIF(O$2:O105, TRUE))</f>
        <v>0.43269230769230771</v>
      </c>
      <c r="Q105" s="342"/>
      <c r="R105" s="342"/>
      <c r="S105" s="342"/>
      <c r="T105" s="342"/>
      <c r="U105" s="188">
        <f>STDEV(D$2:D105)*SQRT(252)</f>
        <v>0.20352342454405692</v>
      </c>
      <c r="V105" s="188">
        <f>STDEV(L$2:L105)*SQRT(252)</f>
        <v>0.32174542830097441</v>
      </c>
      <c r="W105" s="186">
        <f t="shared" si="23"/>
        <v>-1.0951154826367826</v>
      </c>
    </row>
    <row r="106" spans="2:23" ht="20.100000000000001" customHeight="1" x14ac:dyDescent="0.25">
      <c r="B106" s="175">
        <v>42383</v>
      </c>
      <c r="C106" s="212">
        <v>1921.84</v>
      </c>
      <c r="D106" s="174">
        <f t="shared" si="24"/>
        <v>1.6695939225934753E-2</v>
      </c>
      <c r="E106" s="213">
        <f t="shared" ref="E106:E113" si="33">(C106-$C$2)/$C$2</f>
        <v>-8.5900192157683519E-2</v>
      </c>
      <c r="F106" s="223">
        <v>4615</v>
      </c>
      <c r="G106" s="174">
        <f t="shared" si="21"/>
        <v>1.9650645373680331E-2</v>
      </c>
      <c r="H106" s="207">
        <f t="shared" si="27"/>
        <v>-9.3622955005204511E-2</v>
      </c>
      <c r="I106" s="225">
        <v>267077.40000000002</v>
      </c>
      <c r="J106" s="176">
        <v>400000</v>
      </c>
      <c r="K106" s="176">
        <f t="shared" si="28"/>
        <v>8016.7600000000093</v>
      </c>
      <c r="L106" s="174">
        <f t="shared" si="25"/>
        <v>3.0945496004333228E-2</v>
      </c>
      <c r="M106" s="186">
        <f t="shared" si="30"/>
        <v>-132922.59999999998</v>
      </c>
      <c r="N106" s="188">
        <f t="shared" si="31"/>
        <v>-0.33230649999999995</v>
      </c>
      <c r="O106" s="186" t="b">
        <f t="shared" si="29"/>
        <v>1</v>
      </c>
      <c r="P106" s="188">
        <f>COUNTIF(O$2:O106, TRUE)/(COUNTIF(O$2:O106,FALSE) + COUNTIF(O$2:O106, TRUE))</f>
        <v>0.43809523809523809</v>
      </c>
      <c r="Q106" s="342"/>
      <c r="R106" s="342"/>
      <c r="S106" s="342"/>
      <c r="T106" s="342"/>
      <c r="U106" s="188">
        <f>STDEV(D$2:D106)*SQRT(252)</f>
        <v>0.20438733546247476</v>
      </c>
      <c r="V106" s="188">
        <f>STDEV(L$2:L106)*SQRT(252)</f>
        <v>0.32453820781135018</v>
      </c>
      <c r="W106" s="186">
        <f t="shared" si="23"/>
        <v>-1.023936448780679</v>
      </c>
    </row>
    <row r="107" spans="2:23" ht="20.100000000000001" customHeight="1" x14ac:dyDescent="0.25">
      <c r="B107" s="175">
        <v>42384</v>
      </c>
      <c r="C107" s="212">
        <v>1880.33</v>
      </c>
      <c r="D107" s="174">
        <f t="shared" si="24"/>
        <v>-2.1599092536319357E-2</v>
      </c>
      <c r="E107" s="213">
        <f t="shared" si="33"/>
        <v>-0.10564391849470145</v>
      </c>
      <c r="F107" s="223">
        <v>4488.41</v>
      </c>
      <c r="G107" s="174">
        <f t="shared" si="21"/>
        <v>-2.7430119176598083E-2</v>
      </c>
      <c r="H107" s="207">
        <f t="shared" ref="H107:H121" si="34">(F107-F$2)/F$2</f>
        <v>-0.11848498536834456</v>
      </c>
      <c r="I107" s="225">
        <v>249397.57</v>
      </c>
      <c r="J107" s="176">
        <v>400000</v>
      </c>
      <c r="K107" s="176">
        <f t="shared" si="28"/>
        <v>-17679.830000000016</v>
      </c>
      <c r="L107" s="174">
        <f t="shared" si="25"/>
        <v>-6.619740195164403E-2</v>
      </c>
      <c r="M107" s="186">
        <f t="shared" si="30"/>
        <v>-150602.43</v>
      </c>
      <c r="N107" s="188">
        <f t="shared" si="31"/>
        <v>-0.376506075</v>
      </c>
      <c r="O107" s="186" t="b">
        <f t="shared" si="29"/>
        <v>0</v>
      </c>
      <c r="P107" s="188">
        <f>COUNTIF(O$2:O107, TRUE)/(COUNTIF(O$2:O107,FALSE) + COUNTIF(O$2:O107, TRUE))</f>
        <v>0.43396226415094341</v>
      </c>
      <c r="Q107" s="342"/>
      <c r="R107" s="342"/>
      <c r="S107" s="342"/>
      <c r="T107" s="342"/>
      <c r="U107" s="188">
        <f>STDEV(D$2:D107)*SQRT(252)</f>
        <v>0.20594332584152428</v>
      </c>
      <c r="V107" s="188">
        <f>STDEV(L$2:L107)*SQRT(252)</f>
        <v>0.33758588878684614</v>
      </c>
      <c r="W107" s="186">
        <f t="shared" si="23"/>
        <v>-1.1152897307201377</v>
      </c>
    </row>
    <row r="108" spans="2:23" ht="20.100000000000001" customHeight="1" x14ac:dyDescent="0.25">
      <c r="B108" s="170">
        <v>42388</v>
      </c>
      <c r="C108" s="202">
        <v>1881.33</v>
      </c>
      <c r="D108" s="174">
        <f t="shared" si="24"/>
        <v>5.3182154196337883E-4</v>
      </c>
      <c r="E108" s="203">
        <f t="shared" si="33"/>
        <v>-0.10516828066437098</v>
      </c>
      <c r="F108" s="220">
        <v>4476.95</v>
      </c>
      <c r="G108" s="174">
        <f t="shared" si="21"/>
        <v>-2.5532426850488339E-3</v>
      </c>
      <c r="H108" s="205">
        <f t="shared" si="34"/>
        <v>-0.12073570713121355</v>
      </c>
      <c r="I108" s="224">
        <v>241697.04</v>
      </c>
      <c r="J108" s="172">
        <v>400000</v>
      </c>
      <c r="K108" s="172">
        <f t="shared" si="28"/>
        <v>-7700.5300000000279</v>
      </c>
      <c r="L108" s="174">
        <f t="shared" si="25"/>
        <v>-3.0876523776875723E-2</v>
      </c>
      <c r="M108" s="179">
        <f t="shared" si="30"/>
        <v>-158302.96</v>
      </c>
      <c r="N108" s="187">
        <f t="shared" si="31"/>
        <v>-0.39575739999999998</v>
      </c>
      <c r="O108" s="179" t="b">
        <f t="shared" si="29"/>
        <v>0</v>
      </c>
      <c r="P108" s="187">
        <f>COUNTIF(O$2:O108, TRUE)/(COUNTIF(O$2:O108,FALSE) + COUNTIF(O$2:O108, TRUE))</f>
        <v>0.42990654205607476</v>
      </c>
      <c r="Q108" s="341"/>
      <c r="R108" s="341"/>
      <c r="S108" s="341"/>
      <c r="T108" s="341"/>
      <c r="U108" s="187">
        <f>STDEV(D$2:D108)*SQRT(252)</f>
        <v>0.20497353903003479</v>
      </c>
      <c r="V108" s="187">
        <f>STDEV(L$2:L108)*SQRT(252)</f>
        <v>0.33863790038958375</v>
      </c>
      <c r="W108" s="179">
        <f t="shared" si="23"/>
        <v>-1.1686742669521146</v>
      </c>
    </row>
    <row r="109" spans="2:23" ht="20.100000000000001" customHeight="1" x14ac:dyDescent="0.25">
      <c r="B109" s="170">
        <v>42389</v>
      </c>
      <c r="C109" s="202">
        <v>1859.33</v>
      </c>
      <c r="D109" s="174">
        <f t="shared" si="24"/>
        <v>-1.1693854879260949E-2</v>
      </c>
      <c r="E109" s="203">
        <f t="shared" si="33"/>
        <v>-0.11563231293164139</v>
      </c>
      <c r="F109" s="220">
        <v>4471.68</v>
      </c>
      <c r="G109" s="174">
        <f t="shared" si="21"/>
        <v>-1.1771406872981666E-3</v>
      </c>
      <c r="H109" s="205">
        <f t="shared" si="34"/>
        <v>-0.12177072490523785</v>
      </c>
      <c r="I109" s="224">
        <v>239001.56</v>
      </c>
      <c r="J109" s="172">
        <v>400000</v>
      </c>
      <c r="K109" s="172">
        <f t="shared" si="28"/>
        <v>-2695.4799999999814</v>
      </c>
      <c r="L109" s="174">
        <f t="shared" si="25"/>
        <v>-1.1152308691906121E-2</v>
      </c>
      <c r="M109" s="179">
        <f t="shared" si="30"/>
        <v>-160998.44</v>
      </c>
      <c r="N109" s="187">
        <f t="shared" si="31"/>
        <v>-0.40249610000000002</v>
      </c>
      <c r="O109" s="179" t="b">
        <f t="shared" si="29"/>
        <v>1</v>
      </c>
      <c r="P109" s="187">
        <f>COUNTIF(O$2:O109, TRUE)/(COUNTIF(O$2:O109,FALSE) + COUNTIF(O$2:O109, TRUE))</f>
        <v>0.43518518518518517</v>
      </c>
      <c r="Q109" s="341"/>
      <c r="R109" s="341"/>
      <c r="S109" s="341"/>
      <c r="T109" s="341"/>
      <c r="U109" s="187">
        <f>STDEV(D$2:D109)*SQRT(252)</f>
        <v>0.20466775158586656</v>
      </c>
      <c r="V109" s="187">
        <f>STDEV(L$2:L109)*SQRT(252)</f>
        <v>0.33723365750596535</v>
      </c>
      <c r="W109" s="179">
        <f t="shared" si="23"/>
        <v>-1.1935229211007214</v>
      </c>
    </row>
    <row r="110" spans="2:23" ht="20.100000000000001" customHeight="1" x14ac:dyDescent="0.25">
      <c r="B110" s="170">
        <v>42390</v>
      </c>
      <c r="C110" s="202">
        <v>1868.99</v>
      </c>
      <c r="D110" s="174">
        <f t="shared" si="24"/>
        <v>5.1954198555394055E-3</v>
      </c>
      <c r="E110" s="203">
        <f t="shared" si="33"/>
        <v>-0.11103765149064898</v>
      </c>
      <c r="F110" s="220">
        <v>4472.0600000000004</v>
      </c>
      <c r="G110" s="174">
        <f t="shared" si="21"/>
        <v>8.4979247173346285E-5</v>
      </c>
      <c r="H110" s="205">
        <f t="shared" si="34"/>
        <v>-0.1216960936425947</v>
      </c>
      <c r="I110" s="224">
        <v>254991.51</v>
      </c>
      <c r="J110" s="172">
        <v>400000</v>
      </c>
      <c r="K110" s="172">
        <f t="shared" si="28"/>
        <v>15989.950000000012</v>
      </c>
      <c r="L110" s="174">
        <f t="shared" si="25"/>
        <v>6.6903119795536106E-2</v>
      </c>
      <c r="M110" s="179">
        <f t="shared" si="30"/>
        <v>-145008.49</v>
      </c>
      <c r="N110" s="187">
        <f t="shared" si="31"/>
        <v>-0.362521225</v>
      </c>
      <c r="O110" s="179" t="b">
        <f t="shared" si="29"/>
        <v>1</v>
      </c>
      <c r="P110" s="187">
        <f>COUNTIF(O$2:O110, TRUE)/(COUNTIF(O$2:O110,FALSE) + COUNTIF(O$2:O110, TRUE))</f>
        <v>0.44036697247706424</v>
      </c>
      <c r="Q110" s="341"/>
      <c r="R110" s="341"/>
      <c r="S110" s="341"/>
      <c r="T110" s="341"/>
      <c r="U110" s="187">
        <f>STDEV(D$2:D110)*SQRT(252)</f>
        <v>0.20393347244728127</v>
      </c>
      <c r="V110" s="187">
        <f>STDEV(L$2:L110)*SQRT(252)</f>
        <v>0.35256157198523613</v>
      </c>
      <c r="W110" s="179">
        <f t="shared" si="23"/>
        <v>-1.028249400405955</v>
      </c>
    </row>
    <row r="111" spans="2:23" ht="20.100000000000001" customHeight="1" x14ac:dyDescent="0.25">
      <c r="B111" s="170">
        <v>42391</v>
      </c>
      <c r="C111" s="208">
        <v>1906.9</v>
      </c>
      <c r="D111" s="174">
        <f t="shared" si="24"/>
        <v>2.0283682630725729E-2</v>
      </c>
      <c r="E111" s="203">
        <f t="shared" si="33"/>
        <v>-9.3006221342820702E-2</v>
      </c>
      <c r="F111" s="220">
        <v>4591.18</v>
      </c>
      <c r="G111" s="174">
        <f t="shared" si="21"/>
        <v>2.6636494143638476E-2</v>
      </c>
      <c r="H111" s="205">
        <f t="shared" si="34"/>
        <v>-9.8301156784570881E-2</v>
      </c>
      <c r="I111" s="224">
        <v>260098.81</v>
      </c>
      <c r="J111" s="172">
        <v>400000</v>
      </c>
      <c r="K111" s="172">
        <f t="shared" si="28"/>
        <v>5107.2999999999884</v>
      </c>
      <c r="L111" s="174">
        <f t="shared" si="25"/>
        <v>2.0029294308661447E-2</v>
      </c>
      <c r="M111" s="179">
        <f t="shared" si="30"/>
        <v>-139901.19</v>
      </c>
      <c r="N111" s="187">
        <f t="shared" si="31"/>
        <v>-0.34975297500000002</v>
      </c>
      <c r="O111" s="179" t="b">
        <f t="shared" si="29"/>
        <v>0</v>
      </c>
      <c r="P111" s="187">
        <f>COUNTIF(O$2:O111, TRUE)/(COUNTIF(O$2:O111,FALSE) + COUNTIF(O$2:O111, TRUE))</f>
        <v>0.43636363636363634</v>
      </c>
      <c r="Q111" s="341"/>
      <c r="R111" s="341"/>
      <c r="S111" s="341"/>
      <c r="T111" s="341"/>
      <c r="U111" s="187">
        <f>STDEV(D$2:D111)*SQRT(252)</f>
        <v>0.20555239783673285</v>
      </c>
      <c r="V111" s="187">
        <f>STDEV(L$2:L111)*SQRT(252)</f>
        <v>0.35267737853182896</v>
      </c>
      <c r="W111" s="179">
        <f t="shared" si="23"/>
        <v>-0.99170799231863693</v>
      </c>
    </row>
    <row r="112" spans="2:23" ht="20.100000000000001" customHeight="1" x14ac:dyDescent="0.25">
      <c r="B112" s="175">
        <v>42394</v>
      </c>
      <c r="C112" s="219">
        <v>1877.08</v>
      </c>
      <c r="D112" s="174">
        <f t="shared" si="24"/>
        <v>-1.5637946405160294E-2</v>
      </c>
      <c r="E112" s="213">
        <f t="shared" si="33"/>
        <v>-0.10718974144327549</v>
      </c>
      <c r="F112" s="223">
        <v>4518.49</v>
      </c>
      <c r="G112" s="174">
        <f t="shared" si="21"/>
        <v>-1.5832531070443873E-2</v>
      </c>
      <c r="H112" s="207">
        <f t="shared" si="34"/>
        <v>-0.11257733173596246</v>
      </c>
      <c r="I112" s="225">
        <v>241845.81</v>
      </c>
      <c r="J112" s="176">
        <v>400000</v>
      </c>
      <c r="K112" s="176">
        <f t="shared" si="28"/>
        <v>-18253</v>
      </c>
      <c r="L112" s="174">
        <f t="shared" si="25"/>
        <v>-7.0177176127795435E-2</v>
      </c>
      <c r="M112" s="186">
        <f t="shared" si="30"/>
        <v>-158154.19</v>
      </c>
      <c r="N112" s="188">
        <f t="shared" si="31"/>
        <v>-0.39538547499999999</v>
      </c>
      <c r="O112" s="186" t="b">
        <f t="shared" si="29"/>
        <v>0</v>
      </c>
      <c r="P112" s="188">
        <f>COUNTIF(O$2:O112, TRUE)/(COUNTIF(O$2:O112,FALSE) + COUNTIF(O$2:O112, TRUE))</f>
        <v>0.43243243243243246</v>
      </c>
      <c r="Q112" s="342"/>
      <c r="R112" s="342"/>
      <c r="S112" s="342"/>
      <c r="T112" s="342"/>
      <c r="U112" s="188">
        <f>STDEV(D$2:D112)*SQRT(252)</f>
        <v>0.2058342089719612</v>
      </c>
      <c r="V112" s="188">
        <f>STDEV(L$2:L112)*SQRT(252)</f>
        <v>0.36554774877731538</v>
      </c>
      <c r="W112" s="186">
        <f t="shared" si="23"/>
        <v>-1.0816247024430758</v>
      </c>
    </row>
    <row r="113" spans="2:23" ht="20.100000000000001" customHeight="1" x14ac:dyDescent="0.25">
      <c r="B113" s="175">
        <v>42395</v>
      </c>
      <c r="C113" s="212">
        <v>1903.63</v>
      </c>
      <c r="D113" s="174">
        <f t="shared" si="24"/>
        <v>1.4144309246276229E-2</v>
      </c>
      <c r="E113" s="213">
        <f t="shared" si="33"/>
        <v>-9.4561557048001343E-2</v>
      </c>
      <c r="F113" s="223">
        <v>4567.67</v>
      </c>
      <c r="G113" s="174">
        <f t="shared" si="21"/>
        <v>1.0884167055808532E-2</v>
      </c>
      <c r="H113" s="207">
        <f t="shared" si="34"/>
        <v>-0.10291847516546532</v>
      </c>
      <c r="I113" s="225">
        <v>248055.57</v>
      </c>
      <c r="J113" s="176">
        <v>400000</v>
      </c>
      <c r="K113" s="176">
        <f t="shared" si="28"/>
        <v>6209.7600000000093</v>
      </c>
      <c r="L113" s="174">
        <f t="shared" si="25"/>
        <v>2.5676525055364861E-2</v>
      </c>
      <c r="M113" s="186">
        <f t="shared" si="30"/>
        <v>-151944.43</v>
      </c>
      <c r="N113" s="188">
        <f t="shared" si="31"/>
        <v>-0.37986107499999999</v>
      </c>
      <c r="O113" s="186" t="b">
        <f t="shared" si="29"/>
        <v>1</v>
      </c>
      <c r="P113" s="188">
        <f>COUNTIF(O$2:O113, TRUE)/(COUNTIF(O$2:O113,FALSE) + COUNTIF(O$2:O113, TRUE))</f>
        <v>0.4375</v>
      </c>
      <c r="Q113" s="342"/>
      <c r="R113" s="342"/>
      <c r="S113" s="342"/>
      <c r="T113" s="342"/>
      <c r="U113" s="188">
        <f>STDEV(D$2:D113)*SQRT(252)</f>
        <v>0.20615429037873539</v>
      </c>
      <c r="V113" s="188">
        <f>STDEV(L$2:L113)*SQRT(252)</f>
        <v>0.36652123813825849</v>
      </c>
      <c r="W113" s="186">
        <f t="shared" si="23"/>
        <v>-1.0363958086835598</v>
      </c>
    </row>
    <row r="114" spans="2:23" ht="20.100000000000001" customHeight="1" x14ac:dyDescent="0.25">
      <c r="B114" s="175">
        <v>42396</v>
      </c>
      <c r="C114" s="212">
        <v>1882.95</v>
      </c>
      <c r="D114" s="174">
        <f t="shared" si="24"/>
        <v>-1.0863455608495382E-2</v>
      </c>
      <c r="E114" s="213">
        <f>(C114-$C$2)/$C$2</f>
        <v>-0.10439774737923556</v>
      </c>
      <c r="F114" s="223">
        <v>4468.16</v>
      </c>
      <c r="G114" s="174">
        <f t="shared" si="21"/>
        <v>-2.1785724450321547E-2</v>
      </c>
      <c r="H114" s="207">
        <f t="shared" si="34"/>
        <v>-0.12246204607498477</v>
      </c>
      <c r="I114" s="225">
        <v>251585.76</v>
      </c>
      <c r="J114" s="176">
        <v>400000</v>
      </c>
      <c r="K114" s="176">
        <f t="shared" si="28"/>
        <v>3530.1900000000023</v>
      </c>
      <c r="L114" s="174">
        <f t="shared" si="25"/>
        <v>1.4231448219445353E-2</v>
      </c>
      <c r="M114" s="186">
        <f t="shared" si="30"/>
        <v>-148414.24</v>
      </c>
      <c r="N114" s="188">
        <f t="shared" si="31"/>
        <v>-0.37103559999999997</v>
      </c>
      <c r="O114" s="186" t="b">
        <f t="shared" si="29"/>
        <v>1</v>
      </c>
      <c r="P114" s="188">
        <f>COUNTIF(O$2:O114, TRUE)/(COUNTIF(O$2:O114,FALSE) + COUNTIF(O$2:O114, TRUE))</f>
        <v>0.44247787610619471</v>
      </c>
      <c r="Q114" s="342"/>
      <c r="R114" s="342"/>
      <c r="S114" s="342"/>
      <c r="T114" s="342"/>
      <c r="U114" s="188">
        <f>STDEV(D$2:D114)*SQRT(252)</f>
        <v>0.20577679311518093</v>
      </c>
      <c r="V114" s="188">
        <f>STDEV(L$2:L114)*SQRT(252)</f>
        <v>0.36580201811385399</v>
      </c>
      <c r="W114" s="186">
        <f t="shared" si="23"/>
        <v>-1.0143071432824</v>
      </c>
    </row>
    <row r="115" spans="2:23" ht="20.100000000000001" customHeight="1" x14ac:dyDescent="0.25">
      <c r="B115" s="175">
        <v>42397</v>
      </c>
      <c r="C115" s="212">
        <v>1893.36</v>
      </c>
      <c r="D115" s="174">
        <f t="shared" si="24"/>
        <v>5.5285589102205867E-3</v>
      </c>
      <c r="E115" s="213">
        <f t="shared" ref="E115:E124" si="35">(C115-$C$2)/$C$2</f>
        <v>-9.94463575654954E-2</v>
      </c>
      <c r="F115" s="223">
        <v>4506.67</v>
      </c>
      <c r="G115" s="174">
        <f t="shared" si="21"/>
        <v>8.6187602950655792E-3</v>
      </c>
      <c r="H115" s="207">
        <f t="shared" si="34"/>
        <v>-0.11489875680028276</v>
      </c>
      <c r="I115" s="225">
        <v>256687.6</v>
      </c>
      <c r="J115" s="176">
        <v>400000</v>
      </c>
      <c r="K115" s="176">
        <f t="shared" si="28"/>
        <v>5101.8399999999674</v>
      </c>
      <c r="L115" s="174">
        <f t="shared" si="25"/>
        <v>2.027873119686888E-2</v>
      </c>
      <c r="M115" s="186">
        <f t="shared" si="30"/>
        <v>-143312.4</v>
      </c>
      <c r="N115" s="188">
        <f t="shared" si="31"/>
        <v>-0.35828099999999996</v>
      </c>
      <c r="O115" s="186" t="b">
        <f t="shared" si="29"/>
        <v>1</v>
      </c>
      <c r="P115" s="188">
        <f>COUNTIF(O$2:O115, TRUE)/(COUNTIF(O$2:O115,FALSE) + COUNTIF(O$2:O115, TRUE))</f>
        <v>0.44736842105263158</v>
      </c>
      <c r="Q115" s="342"/>
      <c r="R115" s="342"/>
      <c r="S115" s="342"/>
      <c r="T115" s="342"/>
      <c r="U115" s="188">
        <f>STDEV(D$2:D115)*SQRT(252)</f>
        <v>0.20508094349641362</v>
      </c>
      <c r="V115" s="188">
        <f>STDEV(L$2:L115)*SQRT(252)</f>
        <v>0.36582687593251006</v>
      </c>
      <c r="W115" s="186">
        <f t="shared" si="23"/>
        <v>-0.97937309577576737</v>
      </c>
    </row>
    <row r="116" spans="2:23" ht="20.100000000000001" customHeight="1" x14ac:dyDescent="0.25">
      <c r="B116" s="175">
        <v>42398</v>
      </c>
      <c r="C116" s="212">
        <v>1940.24</v>
      </c>
      <c r="D116" s="174">
        <f t="shared" si="24"/>
        <v>2.4760214644864217E-2</v>
      </c>
      <c r="E116" s="213">
        <f t="shared" si="35"/>
        <v>-7.7148456079602773E-2</v>
      </c>
      <c r="F116" s="223">
        <v>4613.95</v>
      </c>
      <c r="G116" s="174">
        <f t="shared" si="21"/>
        <v>2.3804716120772042E-2</v>
      </c>
      <c r="H116" s="207">
        <f t="shared" si="34"/>
        <v>-9.3829172967771088E-2</v>
      </c>
      <c r="I116" s="422">
        <v>272541.61</v>
      </c>
      <c r="J116" s="176">
        <v>400000</v>
      </c>
      <c r="K116" s="176">
        <f t="shared" si="28"/>
        <v>15854.010000000009</v>
      </c>
      <c r="L116" s="174">
        <f t="shared" si="25"/>
        <v>6.1763832767924937E-2</v>
      </c>
      <c r="M116" s="186">
        <f t="shared" si="30"/>
        <v>-127458.39000000001</v>
      </c>
      <c r="N116" s="188">
        <f t="shared" si="31"/>
        <v>-0.31864597500000003</v>
      </c>
      <c r="O116" s="186" t="b">
        <f t="shared" si="29"/>
        <v>1</v>
      </c>
      <c r="P116" s="188">
        <f>COUNTIF(O$2:O116, TRUE)/(COUNTIF(O$2:O116,FALSE) + COUNTIF(O$2:O116, TRUE))</f>
        <v>0.45217391304347826</v>
      </c>
      <c r="Q116" s="342"/>
      <c r="R116" s="342"/>
      <c r="S116" s="342"/>
      <c r="T116" s="342"/>
      <c r="U116" s="188">
        <f>STDEV(D$2:D116)*SQRT(252)</f>
        <v>0.2076899725605586</v>
      </c>
      <c r="V116" s="188">
        <f>STDEV(L$2:L116)*SQRT(252)</f>
        <v>0.37665623164224904</v>
      </c>
      <c r="W116" s="186">
        <f t="shared" si="23"/>
        <v>-0.84598620235401389</v>
      </c>
    </row>
    <row r="117" spans="2:23" ht="20.100000000000001" customHeight="1" x14ac:dyDescent="0.25">
      <c r="B117" s="248">
        <v>42401</v>
      </c>
      <c r="C117" s="249">
        <v>1939.38</v>
      </c>
      <c r="D117" s="174">
        <f t="shared" si="24"/>
        <v>-4.4324413474616542E-4</v>
      </c>
      <c r="E117" s="250">
        <f t="shared" si="35"/>
        <v>-7.755750461368692E-2</v>
      </c>
      <c r="F117" s="251">
        <v>4620.3599999999997</v>
      </c>
      <c r="G117" s="174">
        <f t="shared" si="21"/>
        <v>1.3892651632548803E-3</v>
      </c>
      <c r="H117" s="252">
        <f t="shared" si="34"/>
        <v>-9.2570261405817339E-2</v>
      </c>
      <c r="I117" s="253">
        <v>271687.27</v>
      </c>
      <c r="J117" s="254">
        <v>400000</v>
      </c>
      <c r="K117" s="254">
        <f t="shared" si="28"/>
        <v>-854.3399999999674</v>
      </c>
      <c r="L117" s="174">
        <f t="shared" si="25"/>
        <v>-3.1347139983504443E-3</v>
      </c>
      <c r="M117" s="255">
        <f t="shared" si="30"/>
        <v>-128312.72999999998</v>
      </c>
      <c r="N117" s="256">
        <f t="shared" si="31"/>
        <v>-0.32078182499999996</v>
      </c>
      <c r="O117" s="255" t="b">
        <f t="shared" si="29"/>
        <v>0</v>
      </c>
      <c r="P117" s="256">
        <f>COUNTIF(O$2:O117, TRUE)/(COUNTIF(O$2:O117,FALSE) + COUNTIF(O$2:O117, TRUE))</f>
        <v>0.44827586206896552</v>
      </c>
      <c r="Q117" s="343"/>
      <c r="R117" s="343"/>
      <c r="S117" s="343"/>
      <c r="T117" s="343"/>
      <c r="U117" s="256">
        <f>STDEV(D$2:D117)*SQRT(252)</f>
        <v>0.20677720896061949</v>
      </c>
      <c r="V117" s="256">
        <f>STDEV(L$2:L117)*SQRT(252)</f>
        <v>0.37500277790793834</v>
      </c>
      <c r="W117" s="255">
        <f t="shared" si="23"/>
        <v>-0.85541186331891816</v>
      </c>
    </row>
    <row r="118" spans="2:23" ht="20.100000000000001" customHeight="1" x14ac:dyDescent="0.25">
      <c r="B118" s="248">
        <v>42402</v>
      </c>
      <c r="C118" s="249">
        <v>1903.03</v>
      </c>
      <c r="D118" s="174">
        <f t="shared" si="24"/>
        <v>-1.8743103466056232E-2</v>
      </c>
      <c r="E118" s="250">
        <f t="shared" si="35"/>
        <v>-9.484693974619969E-2</v>
      </c>
      <c r="F118" s="251">
        <v>4516.9399999999996</v>
      </c>
      <c r="G118" s="174">
        <f t="shared" si="21"/>
        <v>-2.2383537213550478E-2</v>
      </c>
      <c r="H118" s="252">
        <f t="shared" si="34"/>
        <v>-0.11288174872832261</v>
      </c>
      <c r="I118" s="253">
        <v>258167.62</v>
      </c>
      <c r="J118" s="254">
        <v>400000</v>
      </c>
      <c r="K118" s="254">
        <f t="shared" si="28"/>
        <v>-13519.650000000023</v>
      </c>
      <c r="L118" s="174">
        <f t="shared" si="25"/>
        <v>-4.9761808862078899E-2</v>
      </c>
      <c r="M118" s="255">
        <f t="shared" si="30"/>
        <v>-141832.38</v>
      </c>
      <c r="N118" s="256">
        <f t="shared" si="31"/>
        <v>-0.35458095000000001</v>
      </c>
      <c r="O118" s="255" t="b">
        <f t="shared" si="29"/>
        <v>0</v>
      </c>
      <c r="P118" s="256">
        <f>COUNTIF(O$2:O118, TRUE)/(COUNTIF(O$2:O118,FALSE) + COUNTIF(O$2:O118, TRUE))</f>
        <v>0.44444444444444442</v>
      </c>
      <c r="Q118" s="343"/>
      <c r="R118" s="343"/>
      <c r="S118" s="343"/>
      <c r="T118" s="343"/>
      <c r="U118" s="256">
        <f>STDEV(D$2:D118)*SQRT(252)</f>
        <v>0.20760234411553996</v>
      </c>
      <c r="V118" s="256">
        <f>STDEV(L$2:L118)*SQRT(252)</f>
        <v>0.37987177172236325</v>
      </c>
      <c r="W118" s="255">
        <f t="shared" si="23"/>
        <v>-0.93342273997435232</v>
      </c>
    </row>
    <row r="119" spans="2:23" ht="20.100000000000001" customHeight="1" x14ac:dyDescent="0.25">
      <c r="B119" s="248">
        <v>42403</v>
      </c>
      <c r="C119" s="249">
        <v>1912.53</v>
      </c>
      <c r="D119" s="174">
        <f t="shared" si="24"/>
        <v>4.9920390114711801E-3</v>
      </c>
      <c r="E119" s="250">
        <f t="shared" si="35"/>
        <v>-9.0328380358060192E-2</v>
      </c>
      <c r="F119" s="251">
        <v>4504.2299999999996</v>
      </c>
      <c r="G119" s="174">
        <f t="shared" si="21"/>
        <v>-2.8138518554596779E-3</v>
      </c>
      <c r="H119" s="252">
        <f t="shared" si="34"/>
        <v>-0.11537796806567556</v>
      </c>
      <c r="I119" s="253">
        <v>270997.09999999998</v>
      </c>
      <c r="J119" s="254">
        <v>400000</v>
      </c>
      <c r="K119" s="254">
        <f t="shared" si="28"/>
        <v>12829.479999999981</v>
      </c>
      <c r="L119" s="174">
        <f t="shared" si="25"/>
        <v>4.9694380728303504E-2</v>
      </c>
      <c r="M119" s="255">
        <f t="shared" si="30"/>
        <v>-129002.90000000002</v>
      </c>
      <c r="N119" s="256">
        <f t="shared" si="31"/>
        <v>-0.32250725000000008</v>
      </c>
      <c r="O119" s="255" t="b">
        <f t="shared" si="29"/>
        <v>1</v>
      </c>
      <c r="P119" s="256">
        <f>COUNTIF(O$2:O119, TRUE)/(COUNTIF(O$2:O119,FALSE) + COUNTIF(O$2:O119, TRUE))</f>
        <v>0.44915254237288138</v>
      </c>
      <c r="Q119" s="343"/>
      <c r="R119" s="343"/>
      <c r="S119" s="343"/>
      <c r="T119" s="343"/>
      <c r="U119" s="256">
        <f>STDEV(D$2:D119)*SQRT(252)</f>
        <v>0.20687869960829744</v>
      </c>
      <c r="V119" s="256">
        <f>STDEV(L$2:L119)*SQRT(252)</f>
        <v>0.38596402182857842</v>
      </c>
      <c r="W119" s="255">
        <f t="shared" si="23"/>
        <v>-0.83558889367993483</v>
      </c>
    </row>
    <row r="120" spans="2:23" ht="20.100000000000001" customHeight="1" x14ac:dyDescent="0.25">
      <c r="B120" s="248">
        <v>42404</v>
      </c>
      <c r="C120" s="249">
        <v>1915.45</v>
      </c>
      <c r="D120" s="174">
        <f t="shared" si="24"/>
        <v>1.5267734362337181E-3</v>
      </c>
      <c r="E120" s="250">
        <f t="shared" si="35"/>
        <v>-8.8939517893495176E-2</v>
      </c>
      <c r="F120" s="251">
        <v>4509.55</v>
      </c>
      <c r="G120" s="174">
        <f t="shared" si="21"/>
        <v>1.1811119769640137E-3</v>
      </c>
      <c r="H120" s="252">
        <f t="shared" si="34"/>
        <v>-0.1143331303886717</v>
      </c>
      <c r="I120" s="253">
        <v>272162.3</v>
      </c>
      <c r="J120" s="254">
        <v>400000</v>
      </c>
      <c r="K120" s="254">
        <f t="shared" ref="K120:K151" si="36">I120-I119-J120+J119</f>
        <v>1165.2000000000116</v>
      </c>
      <c r="L120" s="174">
        <f t="shared" si="25"/>
        <v>4.2996770076137777E-3</v>
      </c>
      <c r="M120" s="255">
        <f t="shared" si="30"/>
        <v>-127837.70000000001</v>
      </c>
      <c r="N120" s="256">
        <f t="shared" si="31"/>
        <v>-0.31959425000000002</v>
      </c>
      <c r="O120" s="255" t="b">
        <f t="shared" si="29"/>
        <v>1</v>
      </c>
      <c r="P120" s="256">
        <f>COUNTIF(O$2:O120, TRUE)/(COUNTIF(O$2:O120,FALSE) + COUNTIF(O$2:O120, TRUE))</f>
        <v>0.45378151260504201</v>
      </c>
      <c r="Q120" s="343"/>
      <c r="R120" s="343"/>
      <c r="S120" s="343"/>
      <c r="T120" s="343"/>
      <c r="U120" s="256">
        <f>STDEV(D$2:D120)*SQRT(252)</f>
        <v>0.20601897567851155</v>
      </c>
      <c r="V120" s="256">
        <f>STDEV(L$2:L120)*SQRT(252)</f>
        <v>0.38442983265447928</v>
      </c>
      <c r="W120" s="255">
        <f t="shared" si="23"/>
        <v>-0.83134612054743251</v>
      </c>
    </row>
    <row r="121" spans="2:23" ht="20.100000000000001" customHeight="1" x14ac:dyDescent="0.25">
      <c r="B121" s="248">
        <v>42405</v>
      </c>
      <c r="C121" s="249">
        <v>1880.02</v>
      </c>
      <c r="D121" s="174">
        <f t="shared" si="24"/>
        <v>-1.8496958939152711E-2</v>
      </c>
      <c r="E121" s="250">
        <f t="shared" si="35"/>
        <v>-0.10579136622210387</v>
      </c>
      <c r="F121" s="251">
        <v>4363.1400000000003</v>
      </c>
      <c r="G121" s="174">
        <f t="shared" si="21"/>
        <v>-3.2466654100741725E-2</v>
      </c>
      <c r="H121" s="252">
        <f t="shared" si="34"/>
        <v>-0.1430877702928294</v>
      </c>
      <c r="I121" s="253">
        <v>257957.43</v>
      </c>
      <c r="J121" s="254">
        <v>400000</v>
      </c>
      <c r="K121" s="254">
        <f t="shared" si="36"/>
        <v>-14204.869999999995</v>
      </c>
      <c r="L121" s="174">
        <f t="shared" si="25"/>
        <v>-5.2192643874629206E-2</v>
      </c>
      <c r="M121" s="255">
        <f t="shared" si="30"/>
        <v>-142042.57</v>
      </c>
      <c r="N121" s="256">
        <f t="shared" si="31"/>
        <v>-0.355106425</v>
      </c>
      <c r="O121" s="255" t="b">
        <f t="shared" si="29"/>
        <v>0</v>
      </c>
      <c r="P121" s="256">
        <f>COUNTIF(O$2:O121, TRUE)/(COUNTIF(O$2:O121,FALSE) + COUNTIF(O$2:O121, TRUE))</f>
        <v>0.45</v>
      </c>
      <c r="Q121" s="343"/>
      <c r="R121" s="343"/>
      <c r="S121" s="343"/>
      <c r="T121" s="343"/>
      <c r="U121" s="256">
        <f>STDEV(D$2:D121)*SQRT(252)</f>
        <v>0.20677147424628983</v>
      </c>
      <c r="V121" s="256">
        <f>STDEV(L$2:L121)*SQRT(252)</f>
        <v>0.38965360022711565</v>
      </c>
      <c r="W121" s="255">
        <f t="shared" si="23"/>
        <v>-0.91133875009244292</v>
      </c>
    </row>
    <row r="122" spans="2:23" ht="20.100000000000001" customHeight="1" x14ac:dyDescent="0.25">
      <c r="B122" s="175">
        <v>42408</v>
      </c>
      <c r="C122" s="219">
        <v>1853.44</v>
      </c>
      <c r="D122" s="174">
        <f t="shared" si="24"/>
        <v>-1.4138147466516275E-2</v>
      </c>
      <c r="E122" s="213">
        <f t="shared" si="35"/>
        <v>-0.11843381975228781</v>
      </c>
      <c r="F122" s="223">
        <v>4283.75</v>
      </c>
      <c r="G122" s="174">
        <f t="shared" si="21"/>
        <v>-1.8195611417465476E-2</v>
      </c>
      <c r="H122" s="207">
        <f t="shared" ref="H122:H127" si="37">(F122-F$2)/F$2</f>
        <v>-0.15867981224345501</v>
      </c>
      <c r="I122" s="225">
        <v>244544.61</v>
      </c>
      <c r="J122" s="176">
        <v>400000</v>
      </c>
      <c r="K122" s="176">
        <f t="shared" si="36"/>
        <v>-13412.820000000007</v>
      </c>
      <c r="L122" s="174">
        <f t="shared" si="25"/>
        <v>-5.1996253800481756E-2</v>
      </c>
      <c r="M122" s="186">
        <f t="shared" si="30"/>
        <v>-155455.39000000001</v>
      </c>
      <c r="N122" s="188">
        <f t="shared" si="31"/>
        <v>-0.38863847500000004</v>
      </c>
      <c r="O122" s="186" t="b">
        <f t="shared" si="29"/>
        <v>0</v>
      </c>
      <c r="P122" s="188">
        <f>COUNTIF(O$2:O122, TRUE)/(COUNTIF(O$2:O122,FALSE) + COUNTIF(O$2:O122, TRUE))</f>
        <v>0.4462809917355372</v>
      </c>
      <c r="Q122" s="342"/>
      <c r="R122" s="342"/>
      <c r="S122" s="342"/>
      <c r="T122" s="342"/>
      <c r="U122" s="188">
        <f>STDEV(D$2:D122)*SQRT(252)</f>
        <v>0.20679867923754305</v>
      </c>
      <c r="V122" s="188">
        <f>STDEV(L$2:L122)*SQRT(252)</f>
        <v>0.39455956732672759</v>
      </c>
      <c r="W122" s="186">
        <f t="shared" si="23"/>
        <v>-0.98499315992552172</v>
      </c>
    </row>
    <row r="123" spans="2:23" ht="20.100000000000001" customHeight="1" x14ac:dyDescent="0.25">
      <c r="B123" s="175">
        <v>42409</v>
      </c>
      <c r="C123" s="212">
        <v>1852.21</v>
      </c>
      <c r="D123" s="174">
        <f t="shared" si="24"/>
        <v>-6.6363087016575565E-4</v>
      </c>
      <c r="E123" s="213">
        <f t="shared" si="35"/>
        <v>-0.11901885428359431</v>
      </c>
      <c r="F123" s="223">
        <v>4268.76</v>
      </c>
      <c r="G123" s="174">
        <f t="shared" si="21"/>
        <v>-3.4992704989786475E-3</v>
      </c>
      <c r="H123" s="207">
        <f t="shared" si="37"/>
        <v>-0.16162381915666665</v>
      </c>
      <c r="I123" s="225">
        <v>239055.86</v>
      </c>
      <c r="J123" s="176">
        <v>400000</v>
      </c>
      <c r="K123" s="176">
        <f t="shared" si="36"/>
        <v>-5488.75</v>
      </c>
      <c r="L123" s="174">
        <f t="shared" si="25"/>
        <v>-2.2444780115987838E-2</v>
      </c>
      <c r="M123" s="186">
        <f t="shared" si="30"/>
        <v>-160944.14000000001</v>
      </c>
      <c r="N123" s="188">
        <f t="shared" si="31"/>
        <v>-0.40236035000000003</v>
      </c>
      <c r="O123" s="186" t="b">
        <f t="shared" ref="O123:O154" si="38">L123&gt;D123</f>
        <v>0</v>
      </c>
      <c r="P123" s="188">
        <f>COUNTIF(O$2:O123, TRUE)/(COUNTIF(O$2:O123,FALSE) + COUNTIF(O$2:O123, TRUE))</f>
        <v>0.44262295081967212</v>
      </c>
      <c r="Q123" s="342"/>
      <c r="R123" s="342"/>
      <c r="S123" s="342"/>
      <c r="T123" s="342"/>
      <c r="U123" s="188">
        <f>STDEV(D$2:D123)*SQRT(252)</f>
        <v>0.20593567657799225</v>
      </c>
      <c r="V123" s="188">
        <f>STDEV(L$2:L123)*SQRT(252)</f>
        <v>0.39391134458203264</v>
      </c>
      <c r="W123" s="186">
        <f t="shared" si="23"/>
        <v>-1.0214490025082481</v>
      </c>
    </row>
    <row r="124" spans="2:23" ht="20.100000000000001" customHeight="1" x14ac:dyDescent="0.25">
      <c r="B124" s="175">
        <v>42410</v>
      </c>
      <c r="C124" s="212">
        <v>1851.86</v>
      </c>
      <c r="D124" s="174">
        <f t="shared" si="24"/>
        <v>-1.8896345446797955E-4</v>
      </c>
      <c r="E124" s="213">
        <f t="shared" si="35"/>
        <v>-0.11918532752421003</v>
      </c>
      <c r="F124" s="223">
        <v>4283.59</v>
      </c>
      <c r="G124" s="174">
        <f t="shared" si="21"/>
        <v>3.4740767810792659E-3</v>
      </c>
      <c r="H124" s="207">
        <f t="shared" si="37"/>
        <v>-0.15871123593298891</v>
      </c>
      <c r="I124" s="225">
        <v>235873.97</v>
      </c>
      <c r="J124" s="176">
        <v>400000</v>
      </c>
      <c r="K124" s="176">
        <f t="shared" si="36"/>
        <v>-3181.890000000014</v>
      </c>
      <c r="L124" s="174">
        <f t="shared" si="25"/>
        <v>-1.3310236360656518E-2</v>
      </c>
      <c r="M124" s="186">
        <f t="shared" si="30"/>
        <v>-164126.03</v>
      </c>
      <c r="N124" s="188">
        <f t="shared" si="31"/>
        <v>-0.41031507499999997</v>
      </c>
      <c r="O124" s="186" t="b">
        <f t="shared" si="38"/>
        <v>0</v>
      </c>
      <c r="P124" s="188">
        <f>COUNTIF(O$2:O124, TRUE)/(COUNTIF(O$2:O124,FALSE) + COUNTIF(O$2:O124, TRUE))</f>
        <v>0.43902439024390244</v>
      </c>
      <c r="Q124" s="342"/>
      <c r="R124" s="342"/>
      <c r="S124" s="342"/>
      <c r="T124" s="342"/>
      <c r="U124" s="188">
        <f>STDEV(D$2:D124)*SQRT(252)</f>
        <v>0.20508595535618429</v>
      </c>
      <c r="V124" s="188">
        <f>STDEV(L$2:L124)*SQRT(252)</f>
        <v>0.39255054022656277</v>
      </c>
      <c r="W124" s="186">
        <f t="shared" si="23"/>
        <v>-1.0452541340617805</v>
      </c>
    </row>
    <row r="125" spans="2:23" ht="20.100000000000001" customHeight="1" x14ac:dyDescent="0.25">
      <c r="B125" s="175">
        <v>42411</v>
      </c>
      <c r="C125" s="212">
        <v>1829.08</v>
      </c>
      <c r="D125" s="174">
        <f t="shared" si="24"/>
        <v>-1.2301145874958137E-2</v>
      </c>
      <c r="E125" s="213">
        <f>(C125-$C$2)/$C$2</f>
        <v>-0.13002035729913819</v>
      </c>
      <c r="F125" s="223">
        <v>4266.83</v>
      </c>
      <c r="G125" s="174">
        <f t="shared" si="21"/>
        <v>-3.9126060150481761E-3</v>
      </c>
      <c r="H125" s="207">
        <f t="shared" si="37"/>
        <v>-0.16200286741166997</v>
      </c>
      <c r="I125" s="225">
        <v>230609.13</v>
      </c>
      <c r="J125" s="176">
        <v>400000</v>
      </c>
      <c r="K125" s="176">
        <f t="shared" si="36"/>
        <v>-5264.8399999999674</v>
      </c>
      <c r="L125" s="174">
        <f t="shared" si="25"/>
        <v>-2.2320563816346364E-2</v>
      </c>
      <c r="M125" s="186">
        <f t="shared" si="30"/>
        <v>-169390.87</v>
      </c>
      <c r="N125" s="188">
        <f t="shared" si="31"/>
        <v>-0.42347717499999998</v>
      </c>
      <c r="O125" s="186" t="b">
        <f t="shared" si="38"/>
        <v>0</v>
      </c>
      <c r="P125" s="188">
        <f>COUNTIF(O$2:O125, TRUE)/(COUNTIF(O$2:O125,FALSE) + COUNTIF(O$2:O125, TRUE))</f>
        <v>0.43548387096774194</v>
      </c>
      <c r="Q125" s="342"/>
      <c r="R125" s="342"/>
      <c r="S125" s="342"/>
      <c r="T125" s="342"/>
      <c r="U125" s="188">
        <f>STDEV(D$2:D125)*SQRT(252)</f>
        <v>0.20488816456150158</v>
      </c>
      <c r="V125" s="188">
        <f>STDEV(L$2:L125)*SQRT(252)</f>
        <v>0.39188934391979374</v>
      </c>
      <c r="W125" s="186">
        <f t="shared" si="23"/>
        <v>-1.080603955096751</v>
      </c>
    </row>
    <row r="126" spans="2:23" ht="20.100000000000001" customHeight="1" x14ac:dyDescent="0.25">
      <c r="B126" s="175">
        <v>42412</v>
      </c>
      <c r="C126" s="212">
        <v>1864.78</v>
      </c>
      <c r="D126" s="174">
        <f t="shared" si="24"/>
        <v>1.9518009053731956E-2</v>
      </c>
      <c r="E126" s="213">
        <f>(C126-$C$2)/$C$2</f>
        <v>-0.11304008675634029</v>
      </c>
      <c r="F126" s="223">
        <v>4337.51</v>
      </c>
      <c r="G126" s="174">
        <f t="shared" si="21"/>
        <v>1.656499087144327E-2</v>
      </c>
      <c r="H126" s="207">
        <f t="shared" si="37"/>
        <v>-0.14812145256004863</v>
      </c>
      <c r="I126" s="225">
        <v>236989.83</v>
      </c>
      <c r="J126" s="176">
        <v>400000</v>
      </c>
      <c r="K126" s="176">
        <f t="shared" si="36"/>
        <v>6380.6999999999534</v>
      </c>
      <c r="L126" s="174">
        <f t="shared" si="25"/>
        <v>2.7668895849873563E-2</v>
      </c>
      <c r="M126" s="186">
        <f t="shared" ref="M126:M157" si="39">I126-J126</f>
        <v>-163010.17000000001</v>
      </c>
      <c r="N126" s="188">
        <f t="shared" ref="N126:N157" si="40">M126/J126</f>
        <v>-0.40752542500000005</v>
      </c>
      <c r="O126" s="186" t="b">
        <f t="shared" si="38"/>
        <v>1</v>
      </c>
      <c r="P126" s="188">
        <f>COUNTIF(O$2:O126, TRUE)/(COUNTIF(O$2:O126,FALSE) + COUNTIF(O$2:O126, TRUE))</f>
        <v>0.44</v>
      </c>
      <c r="Q126" s="342"/>
      <c r="R126" s="342"/>
      <c r="S126" s="342"/>
      <c r="T126" s="342"/>
      <c r="U126" s="188">
        <f>STDEV(D$2:D126)*SQRT(252)</f>
        <v>0.20614925630726783</v>
      </c>
      <c r="V126" s="188">
        <f>STDEV(L$2:L126)*SQRT(252)</f>
        <v>0.39280034902438915</v>
      </c>
      <c r="W126" s="186">
        <f t="shared" si="23"/>
        <v>-1.037487430986719</v>
      </c>
    </row>
    <row r="127" spans="2:23" ht="20.100000000000001" customHeight="1" x14ac:dyDescent="0.25">
      <c r="B127" s="248">
        <v>42416</v>
      </c>
      <c r="C127" s="249">
        <v>1895.58</v>
      </c>
      <c r="D127" s="174">
        <f t="shared" si="24"/>
        <v>1.651669365823312E-2</v>
      </c>
      <c r="E127" s="250">
        <f>(C127-$C$2)/$C$2</f>
        <v>-9.8390441582161731E-2</v>
      </c>
      <c r="F127" s="251">
        <v>4435.96</v>
      </c>
      <c r="G127" s="174">
        <f t="shared" si="21"/>
        <v>2.2697354011863905E-2</v>
      </c>
      <c r="H127" s="252">
        <f t="shared" si="37"/>
        <v>-0.12878606359369166</v>
      </c>
      <c r="I127" s="253">
        <v>243663.46</v>
      </c>
      <c r="J127" s="254">
        <v>400000</v>
      </c>
      <c r="K127" s="254">
        <f t="shared" si="36"/>
        <v>6673.6300000000047</v>
      </c>
      <c r="L127" s="174">
        <f t="shared" si="25"/>
        <v>2.8159984755463999E-2</v>
      </c>
      <c r="M127" s="255">
        <f t="shared" si="39"/>
        <v>-156336.54</v>
      </c>
      <c r="N127" s="256">
        <f t="shared" si="40"/>
        <v>-0.39084135000000003</v>
      </c>
      <c r="O127" s="255" t="b">
        <f t="shared" si="38"/>
        <v>1</v>
      </c>
      <c r="P127" s="256">
        <f>COUNTIF(O$2:O127, TRUE)/(COUNTIF(O$2:O127,FALSE) + COUNTIF(O$2:O127, TRUE))</f>
        <v>0.44444444444444442</v>
      </c>
      <c r="Q127" s="343"/>
      <c r="R127" s="343"/>
      <c r="S127" s="343"/>
      <c r="T127" s="343"/>
      <c r="U127" s="256">
        <f>STDEV(D$2:D127)*SQRT(252)</f>
        <v>0.2067973574201509</v>
      </c>
      <c r="V127" s="256">
        <f>STDEV(L$2:L127)*SQRT(252)</f>
        <v>0.39373317711022293</v>
      </c>
      <c r="W127" s="255">
        <f t="shared" si="23"/>
        <v>-0.9926553633822599</v>
      </c>
    </row>
    <row r="128" spans="2:23" ht="20.100000000000001" customHeight="1" x14ac:dyDescent="0.25">
      <c r="B128" s="248">
        <v>42417</v>
      </c>
      <c r="C128" s="249">
        <v>1926.82</v>
      </c>
      <c r="D128" s="174">
        <f t="shared" si="24"/>
        <v>1.648044398020659E-2</v>
      </c>
      <c r="E128" s="250">
        <f t="shared" ref="E128:E133" si="41">(C128-$C$2)/$C$2</f>
        <v>-8.3531515762637745E-2</v>
      </c>
      <c r="F128" s="251">
        <v>4534.0600000000004</v>
      </c>
      <c r="G128" s="174">
        <f t="shared" si="21"/>
        <v>2.2114716994743044E-2</v>
      </c>
      <c r="H128" s="252">
        <f t="shared" ref="H128:H141" si="42">(F128-F$2)/F$2</f>
        <v>-0.10951941394819008</v>
      </c>
      <c r="I128" s="253">
        <v>249365.31</v>
      </c>
      <c r="J128" s="254">
        <v>400000</v>
      </c>
      <c r="K128" s="254">
        <f t="shared" si="36"/>
        <v>5701.8499999999767</v>
      </c>
      <c r="L128" s="174">
        <f t="shared" si="25"/>
        <v>2.3400513150391843E-2</v>
      </c>
      <c r="M128" s="255">
        <f t="shared" si="39"/>
        <v>-150634.69</v>
      </c>
      <c r="N128" s="256">
        <f t="shared" si="40"/>
        <v>-0.37658672500000001</v>
      </c>
      <c r="O128" s="255" t="b">
        <f t="shared" si="38"/>
        <v>1</v>
      </c>
      <c r="P128" s="256">
        <f>COUNTIF(O$2:O128, TRUE)/(COUNTIF(O$2:O128,FALSE) + COUNTIF(O$2:O128, TRUE))</f>
        <v>0.44881889763779526</v>
      </c>
      <c r="Q128" s="343"/>
      <c r="R128" s="343"/>
      <c r="S128" s="343"/>
      <c r="T128" s="343"/>
      <c r="U128" s="256">
        <f>STDEV(D$2:D128)*SQRT(252)</f>
        <v>0.20740391827467</v>
      </c>
      <c r="V128" s="256">
        <f>STDEV(L$2:L128)*SQRT(252)</f>
        <v>0.39391671411506929</v>
      </c>
      <c r="W128" s="255">
        <f t="shared" si="23"/>
        <v>-0.95600595635044083</v>
      </c>
    </row>
    <row r="129" spans="1:23" ht="20.100000000000001" customHeight="1" x14ac:dyDescent="0.25">
      <c r="B129" s="248">
        <v>42418</v>
      </c>
      <c r="C129" s="249">
        <v>1917.83</v>
      </c>
      <c r="D129" s="174">
        <f t="shared" si="24"/>
        <v>-4.6657186452289312E-3</v>
      </c>
      <c r="E129" s="250">
        <f t="shared" si="41"/>
        <v>-8.7807499857308707E-2</v>
      </c>
      <c r="F129" s="251">
        <v>4487.53</v>
      </c>
      <c r="G129" s="174">
        <f t="shared" si="21"/>
        <v>-1.0262325597808731E-2</v>
      </c>
      <c r="H129" s="252">
        <f t="shared" si="42"/>
        <v>-0.11865781566078129</v>
      </c>
      <c r="I129" s="253">
        <v>241680.12</v>
      </c>
      <c r="J129" s="254">
        <v>400000</v>
      </c>
      <c r="K129" s="254">
        <f t="shared" si="36"/>
        <v>-7685.1900000000023</v>
      </c>
      <c r="L129" s="174">
        <f t="shared" si="25"/>
        <v>-3.0819002049643562E-2</v>
      </c>
      <c r="M129" s="255">
        <f t="shared" si="39"/>
        <v>-158319.88</v>
      </c>
      <c r="N129" s="256">
        <f t="shared" si="40"/>
        <v>-0.39579970000000003</v>
      </c>
      <c r="O129" s="255" t="b">
        <f t="shared" si="38"/>
        <v>0</v>
      </c>
      <c r="P129" s="256">
        <f>COUNTIF(O$2:O129, TRUE)/(COUNTIF(O$2:O129,FALSE) + COUNTIF(O$2:O129, TRUE))</f>
        <v>0.4453125</v>
      </c>
      <c r="Q129" s="343"/>
      <c r="R129" s="343"/>
      <c r="S129" s="343"/>
      <c r="T129" s="343"/>
      <c r="U129" s="256">
        <f>STDEV(D$2:D129)*SQRT(252)</f>
        <v>0.20665833739123632</v>
      </c>
      <c r="V129" s="256">
        <f>STDEV(L$2:L129)*SQRT(252)</f>
        <v>0.39434419152440775</v>
      </c>
      <c r="W129" s="255">
        <f t="shared" si="23"/>
        <v>-1.0036909595903156</v>
      </c>
    </row>
    <row r="130" spans="1:23" ht="20.100000000000001" customHeight="1" x14ac:dyDescent="0.25">
      <c r="B130" s="248">
        <v>42419</v>
      </c>
      <c r="C130" s="249">
        <v>1917.78</v>
      </c>
      <c r="D130" s="174">
        <f t="shared" si="24"/>
        <v>-2.6071132477828863E-5</v>
      </c>
      <c r="E130" s="250">
        <f t="shared" si="41"/>
        <v>-8.7831281748825207E-2</v>
      </c>
      <c r="F130" s="251">
        <v>4504.43</v>
      </c>
      <c r="G130" s="174">
        <f t="shared" si="21"/>
        <v>3.7659915365469529E-3</v>
      </c>
      <c r="H130" s="252">
        <f t="shared" si="42"/>
        <v>-0.11533868845375798</v>
      </c>
      <c r="I130" s="253">
        <v>236145.17</v>
      </c>
      <c r="J130" s="254">
        <v>400000</v>
      </c>
      <c r="K130" s="254">
        <f t="shared" si="36"/>
        <v>-5534.9499999999534</v>
      </c>
      <c r="L130" s="174">
        <f t="shared" si="25"/>
        <v>-2.290196645052954E-2</v>
      </c>
      <c r="M130" s="255">
        <f t="shared" si="39"/>
        <v>-163854.82999999999</v>
      </c>
      <c r="N130" s="256">
        <f t="shared" si="40"/>
        <v>-0.40963707499999996</v>
      </c>
      <c r="O130" s="255" t="b">
        <f t="shared" si="38"/>
        <v>0</v>
      </c>
      <c r="P130" s="256">
        <f>COUNTIF(O$2:O130, TRUE)/(COUNTIF(O$2:O130,FALSE) + COUNTIF(O$2:O130, TRUE))</f>
        <v>0.44186046511627908</v>
      </c>
      <c r="Q130" s="343"/>
      <c r="R130" s="343"/>
      <c r="S130" s="343"/>
      <c r="T130" s="343"/>
      <c r="U130" s="256">
        <f>STDEV(D$2:D130)*SQRT(252)</f>
        <v>0.20584491170892685</v>
      </c>
      <c r="V130" s="256">
        <f>STDEV(L$2:L130)*SQRT(252)</f>
        <v>0.39378743351445816</v>
      </c>
      <c r="W130" s="255">
        <f t="shared" si="23"/>
        <v>-1.040249231277107</v>
      </c>
    </row>
    <row r="131" spans="1:23" ht="20.100000000000001" customHeight="1" x14ac:dyDescent="0.25">
      <c r="B131" s="175">
        <v>42422</v>
      </c>
      <c r="C131" s="219">
        <v>1945.5</v>
      </c>
      <c r="D131" s="174">
        <f t="shared" si="24"/>
        <v>1.4454212683415213E-2</v>
      </c>
      <c r="E131" s="213">
        <f t="shared" si="41"/>
        <v>-7.4646601092064488E-2</v>
      </c>
      <c r="F131" s="223">
        <v>4570.6000000000004</v>
      </c>
      <c r="G131" s="174">
        <f t="shared" si="21"/>
        <v>1.4689982972318378E-2</v>
      </c>
      <c r="H131" s="207">
        <f t="shared" si="42"/>
        <v>-0.10234302885087485</v>
      </c>
      <c r="I131" s="225">
        <v>248415.23</v>
      </c>
      <c r="J131" s="176">
        <v>400000</v>
      </c>
      <c r="K131" s="176">
        <f t="shared" si="36"/>
        <v>12270.059999999998</v>
      </c>
      <c r="L131" s="174">
        <f t="shared" si="25"/>
        <v>5.1959817768028022E-2</v>
      </c>
      <c r="M131" s="186">
        <f t="shared" si="39"/>
        <v>-151584.76999999999</v>
      </c>
      <c r="N131" s="188">
        <f t="shared" si="40"/>
        <v>-0.37896192499999998</v>
      </c>
      <c r="O131" s="186" t="b">
        <f t="shared" si="38"/>
        <v>1</v>
      </c>
      <c r="P131" s="188">
        <f>COUNTIF(O$2:O131, TRUE)/(COUNTIF(O$2:O131,FALSE) + COUNTIF(O$2:O131, TRUE))</f>
        <v>0.44615384615384618</v>
      </c>
      <c r="Q131" s="342"/>
      <c r="R131" s="342"/>
      <c r="S131" s="342"/>
      <c r="T131" s="342"/>
      <c r="U131" s="188">
        <f>STDEV(D$2:D131)*SQRT(252)</f>
        <v>0.20612093442208271</v>
      </c>
      <c r="V131" s="188">
        <f>STDEV(L$2:L131)*SQRT(252)</f>
        <v>0.39971891584326358</v>
      </c>
      <c r="W131" s="186">
        <f t="shared" ref="W131:W194" si="43">N131/V131</f>
        <v>-0.94807103186629582</v>
      </c>
    </row>
    <row r="132" spans="1:23" ht="20.100000000000001" customHeight="1" x14ac:dyDescent="0.25">
      <c r="B132" s="175">
        <v>42423</v>
      </c>
      <c r="C132" s="212">
        <v>1921.27</v>
      </c>
      <c r="D132" s="174">
        <f t="shared" si="24"/>
        <v>-1.2454381906964801E-2</v>
      </c>
      <c r="E132" s="213">
        <f t="shared" si="41"/>
        <v>-8.6171305720971855E-2</v>
      </c>
      <c r="F132" s="223">
        <v>4503.58</v>
      </c>
      <c r="G132" s="174">
        <f t="shared" ref="G132:G165" si="44">(F132-F131)/F131</f>
        <v>-1.4663282719993093E-2</v>
      </c>
      <c r="H132" s="207">
        <f t="shared" si="42"/>
        <v>-0.11550562680440715</v>
      </c>
      <c r="I132" s="225">
        <v>238794.23</v>
      </c>
      <c r="J132" s="176">
        <v>400000</v>
      </c>
      <c r="K132" s="176">
        <f t="shared" si="36"/>
        <v>-9621</v>
      </c>
      <c r="L132" s="174">
        <f t="shared" ref="L132:L195" si="45">K132/I131</f>
        <v>-3.8729509458820213E-2</v>
      </c>
      <c r="M132" s="186">
        <f t="shared" si="39"/>
        <v>-161205.76999999999</v>
      </c>
      <c r="N132" s="188">
        <f t="shared" si="40"/>
        <v>-0.40301442499999995</v>
      </c>
      <c r="O132" s="186" t="b">
        <f t="shared" si="38"/>
        <v>0</v>
      </c>
      <c r="P132" s="188">
        <f>COUNTIF(O$2:O132, TRUE)/(COUNTIF(O$2:O132,FALSE) + COUNTIF(O$2:O132, TRUE))</f>
        <v>0.44274809160305345</v>
      </c>
      <c r="Q132" s="342"/>
      <c r="R132" s="342"/>
      <c r="S132" s="342"/>
      <c r="T132" s="342"/>
      <c r="U132" s="188">
        <f>STDEV(D$2:D132)*SQRT(252)</f>
        <v>0.20599200020691141</v>
      </c>
      <c r="V132" s="188">
        <f>STDEV(L$2:L132)*SQRT(252)</f>
        <v>0.40132200578539856</v>
      </c>
      <c r="W132" s="186">
        <f t="shared" si="43"/>
        <v>-1.0042171104255528</v>
      </c>
    </row>
    <row r="133" spans="1:23" ht="20.100000000000001" customHeight="1" x14ac:dyDescent="0.25">
      <c r="B133" s="175">
        <v>42424</v>
      </c>
      <c r="C133" s="219">
        <v>1929.8</v>
      </c>
      <c r="D133" s="174">
        <f t="shared" ref="D133:D165" si="46">(C133-C132)/C132</f>
        <v>4.439771609404182E-3</v>
      </c>
      <c r="E133" s="213">
        <f t="shared" si="41"/>
        <v>-8.2114115028252929E-2</v>
      </c>
      <c r="F133" s="223">
        <v>4542.6000000000004</v>
      </c>
      <c r="G133" s="174">
        <f t="shared" si="44"/>
        <v>8.6642182441525276E-3</v>
      </c>
      <c r="H133" s="207">
        <f t="shared" si="42"/>
        <v>-0.10784217451931565</v>
      </c>
      <c r="I133" s="225">
        <v>242422.46</v>
      </c>
      <c r="J133" s="176">
        <v>400000</v>
      </c>
      <c r="K133" s="176">
        <f t="shared" si="36"/>
        <v>3628.2299999999814</v>
      </c>
      <c r="L133" s="174">
        <f t="shared" si="45"/>
        <v>1.5193960088566551E-2</v>
      </c>
      <c r="M133" s="186">
        <f t="shared" si="39"/>
        <v>-157577.54</v>
      </c>
      <c r="N133" s="188">
        <f t="shared" si="40"/>
        <v>-0.39394385000000004</v>
      </c>
      <c r="O133" s="186" t="b">
        <f t="shared" si="38"/>
        <v>1</v>
      </c>
      <c r="P133" s="188">
        <f>COUNTIF(O$2:O133, TRUE)/(COUNTIF(O$2:O133,FALSE) + COUNTIF(O$2:O133, TRUE))</f>
        <v>0.44696969696969696</v>
      </c>
      <c r="Q133" s="342"/>
      <c r="R133" s="342"/>
      <c r="S133" s="342"/>
      <c r="T133" s="342"/>
      <c r="U133" s="188">
        <f>STDEV(D$2:D133)*SQRT(252)</f>
        <v>0.2053176523633603</v>
      </c>
      <c r="V133" s="188">
        <f>STDEV(L$2:L133)*SQRT(252)</f>
        <v>0.40056518042041067</v>
      </c>
      <c r="W133" s="186">
        <f t="shared" si="43"/>
        <v>-0.98347002998747601</v>
      </c>
    </row>
    <row r="134" spans="1:23" ht="20.100000000000001" customHeight="1" x14ac:dyDescent="0.25">
      <c r="B134" s="175">
        <v>42425</v>
      </c>
      <c r="C134" s="219">
        <v>1951.7</v>
      </c>
      <c r="D134" s="174">
        <f t="shared" si="46"/>
        <v>1.1348326251425065E-2</v>
      </c>
      <c r="E134" s="213">
        <f t="shared" ref="E134:E139" si="47">(C134-$C$2)/$C$2</f>
        <v>-7.1697646544015531E-2</v>
      </c>
      <c r="F134" s="223">
        <v>4582.2</v>
      </c>
      <c r="G134" s="174">
        <f t="shared" si="44"/>
        <v>8.7174745740323713E-3</v>
      </c>
      <c r="H134" s="207">
        <f t="shared" si="42"/>
        <v>-0.10006481135966377</v>
      </c>
      <c r="I134" s="225">
        <v>244524.77</v>
      </c>
      <c r="J134" s="176">
        <v>400000</v>
      </c>
      <c r="K134" s="176">
        <f t="shared" si="36"/>
        <v>2102.3099999999977</v>
      </c>
      <c r="L134" s="174">
        <f t="shared" si="45"/>
        <v>8.6720925115601824E-3</v>
      </c>
      <c r="M134" s="186">
        <f t="shared" si="39"/>
        <v>-155475.23000000001</v>
      </c>
      <c r="N134" s="188">
        <f t="shared" si="40"/>
        <v>-0.38868807500000002</v>
      </c>
      <c r="O134" s="186" t="b">
        <f t="shared" si="38"/>
        <v>0</v>
      </c>
      <c r="P134" s="188">
        <f>COUNTIF(O$2:O134, TRUE)/(COUNTIF(O$2:O134,FALSE) + COUNTIF(O$2:O134, TRUE))</f>
        <v>0.44360902255639095</v>
      </c>
      <c r="Q134" s="342"/>
      <c r="R134" s="342"/>
      <c r="S134" s="342"/>
      <c r="T134" s="342"/>
      <c r="U134" s="188">
        <f>STDEV(D$2:D134)*SQRT(252)</f>
        <v>0.2051944315202551</v>
      </c>
      <c r="V134" s="188">
        <f>STDEV(L$2:L134)*SQRT(252)</f>
        <v>0.399347738080158</v>
      </c>
      <c r="W134" s="186">
        <f t="shared" si="43"/>
        <v>-0.97330731574591178</v>
      </c>
    </row>
    <row r="135" spans="1:23" ht="20.100000000000001" customHeight="1" x14ac:dyDescent="0.25">
      <c r="B135" s="175">
        <v>42426</v>
      </c>
      <c r="C135" s="219">
        <v>1948.05</v>
      </c>
      <c r="D135" s="174">
        <f t="shared" si="46"/>
        <v>-1.8701644719988169E-3</v>
      </c>
      <c r="E135" s="213">
        <f t="shared" si="47"/>
        <v>-7.3433724624721794E-2</v>
      </c>
      <c r="F135" s="223">
        <v>4590.47</v>
      </c>
      <c r="G135" s="174">
        <f t="shared" si="44"/>
        <v>1.8048099166340266E-3</v>
      </c>
      <c r="H135" s="207">
        <f t="shared" si="42"/>
        <v>-9.8440599406877771E-2</v>
      </c>
      <c r="I135" s="225">
        <v>251916.67</v>
      </c>
      <c r="J135" s="176">
        <v>400000</v>
      </c>
      <c r="K135" s="176">
        <f t="shared" si="36"/>
        <v>7391.9000000000233</v>
      </c>
      <c r="L135" s="174">
        <f t="shared" si="45"/>
        <v>3.0229657306292623E-2</v>
      </c>
      <c r="M135" s="186">
        <f t="shared" si="39"/>
        <v>-148083.32999999999</v>
      </c>
      <c r="N135" s="188">
        <f t="shared" si="40"/>
        <v>-0.37020832499999995</v>
      </c>
      <c r="O135" s="186" t="b">
        <f t="shared" si="38"/>
        <v>1</v>
      </c>
      <c r="P135" s="188">
        <f>COUNTIF(O$2:O135, TRUE)/(COUNTIF(O$2:O135,FALSE) + COUNTIF(O$2:O135, TRUE))</f>
        <v>0.44776119402985076</v>
      </c>
      <c r="Q135" s="342"/>
      <c r="R135" s="342"/>
      <c r="S135" s="342"/>
      <c r="T135" s="342"/>
      <c r="U135" s="188">
        <f>STDEV(D$2:D135)*SQRT(252)</f>
        <v>0.20442465292014791</v>
      </c>
      <c r="V135" s="188">
        <f>STDEV(L$2:L135)*SQRT(252)</f>
        <v>0.40040715107254371</v>
      </c>
      <c r="W135" s="186">
        <f t="shared" si="43"/>
        <v>-0.92457970345521501</v>
      </c>
    </row>
    <row r="136" spans="1:23" ht="20.100000000000001" customHeight="1" x14ac:dyDescent="0.25">
      <c r="B136" s="248">
        <v>42429</v>
      </c>
      <c r="C136" s="249">
        <v>1932.23</v>
      </c>
      <c r="D136" s="174">
        <f t="shared" si="46"/>
        <v>-8.1209414542747545E-3</v>
      </c>
      <c r="E136" s="250">
        <f t="shared" si="47"/>
        <v>-8.0958315100549849E-2</v>
      </c>
      <c r="F136" s="251">
        <v>4557.95</v>
      </c>
      <c r="G136" s="174">
        <f t="shared" si="44"/>
        <v>-7.0842419185835953E-3</v>
      </c>
      <c r="H136" s="252">
        <f t="shared" si="42"/>
        <v>-0.10482746430465267</v>
      </c>
      <c r="I136" s="421">
        <v>254134.09</v>
      </c>
      <c r="J136" s="254">
        <v>400000</v>
      </c>
      <c r="K136" s="254">
        <f t="shared" si="36"/>
        <v>2217.4199999999837</v>
      </c>
      <c r="L136" s="174">
        <f t="shared" si="45"/>
        <v>8.8021963770797042E-3</v>
      </c>
      <c r="M136" s="255">
        <f t="shared" si="39"/>
        <v>-145865.91</v>
      </c>
      <c r="N136" s="256">
        <f t="shared" si="40"/>
        <v>-0.364664775</v>
      </c>
      <c r="O136" s="255" t="b">
        <f t="shared" si="38"/>
        <v>1</v>
      </c>
      <c r="P136" s="256">
        <f>COUNTIF(O$2:O136, TRUE)/(COUNTIF(O$2:O136,FALSE) + COUNTIF(O$2:O136, TRUE))</f>
        <v>0.45185185185185184</v>
      </c>
      <c r="Q136" s="343"/>
      <c r="R136" s="343"/>
      <c r="S136" s="343"/>
      <c r="T136" s="343"/>
      <c r="U136" s="256">
        <f>STDEV(D$2:D136)*SQRT(252)</f>
        <v>0.20392331073233147</v>
      </c>
      <c r="V136" s="256">
        <f>STDEV(L$2:L136)*SQRT(252)</f>
        <v>0.39919785402030938</v>
      </c>
      <c r="W136" s="255">
        <f t="shared" si="43"/>
        <v>-0.91349382599999518</v>
      </c>
    </row>
    <row r="137" spans="1:23" ht="20.100000000000001" customHeight="1" x14ac:dyDescent="0.25">
      <c r="B137" s="248">
        <v>42430</v>
      </c>
      <c r="C137" s="249">
        <v>1978.35</v>
      </c>
      <c r="D137" s="174">
        <f t="shared" si="46"/>
        <v>2.3868794087660315E-2</v>
      </c>
      <c r="E137" s="250">
        <f t="shared" si="47"/>
        <v>-5.9021898365708481E-2</v>
      </c>
      <c r="F137" s="251">
        <v>4689.59</v>
      </c>
      <c r="G137" s="174">
        <f t="shared" si="44"/>
        <v>2.8881405017606672E-2</v>
      </c>
      <c r="H137" s="252">
        <f t="shared" si="42"/>
        <v>-7.8973623740597382E-2</v>
      </c>
      <c r="I137" s="253">
        <v>256289.63</v>
      </c>
      <c r="J137" s="254">
        <v>400000</v>
      </c>
      <c r="K137" s="254">
        <f t="shared" si="36"/>
        <v>2155.5400000000373</v>
      </c>
      <c r="L137" s="174">
        <f t="shared" si="45"/>
        <v>8.4819002440799547E-3</v>
      </c>
      <c r="M137" s="255">
        <f t="shared" si="39"/>
        <v>-143710.37</v>
      </c>
      <c r="N137" s="256">
        <f t="shared" si="40"/>
        <v>-0.359275925</v>
      </c>
      <c r="O137" s="255" t="b">
        <f t="shared" si="38"/>
        <v>0</v>
      </c>
      <c r="P137" s="256">
        <f>COUNTIF(O$2:O137, TRUE)/(COUNTIF(O$2:O137,FALSE) + COUNTIF(O$2:O137, TRUE))</f>
        <v>0.4485294117647059</v>
      </c>
      <c r="Q137" s="343"/>
      <c r="R137" s="343"/>
      <c r="S137" s="343"/>
      <c r="T137" s="343"/>
      <c r="U137" s="256">
        <f>STDEV(D$2:D137)*SQRT(252)</f>
        <v>0.205881606235845</v>
      </c>
      <c r="V137" s="256">
        <f>STDEV(L$2:L137)*SQRT(252)</f>
        <v>0.39798205719407453</v>
      </c>
      <c r="W137" s="255">
        <f t="shared" si="43"/>
        <v>-0.90274402703738066</v>
      </c>
    </row>
    <row r="138" spans="1:23" ht="20.100000000000001" customHeight="1" x14ac:dyDescent="0.25">
      <c r="B138" s="248">
        <v>42431</v>
      </c>
      <c r="C138" s="338">
        <v>1986.4749999999999</v>
      </c>
      <c r="D138" s="174">
        <f t="shared" si="46"/>
        <v>4.1069578183840069E-3</v>
      </c>
      <c r="E138" s="250">
        <f t="shared" si="47"/>
        <v>-5.5157340994273385E-2</v>
      </c>
      <c r="F138" s="251">
        <v>4703.42</v>
      </c>
      <c r="G138" s="174">
        <f t="shared" si="44"/>
        <v>2.9490851012561711E-3</v>
      </c>
      <c r="H138" s="252">
        <f t="shared" si="42"/>
        <v>-7.6257438576506811E-2</v>
      </c>
      <c r="I138" s="253">
        <v>273591.05</v>
      </c>
      <c r="J138" s="254">
        <v>400000</v>
      </c>
      <c r="K138" s="254">
        <f t="shared" si="36"/>
        <v>17301.419999999984</v>
      </c>
      <c r="L138" s="174">
        <f t="shared" si="45"/>
        <v>6.7507296335009667E-2</v>
      </c>
      <c r="M138" s="255">
        <f t="shared" si="39"/>
        <v>-126408.95000000001</v>
      </c>
      <c r="N138" s="256">
        <f t="shared" si="40"/>
        <v>-0.31602237500000002</v>
      </c>
      <c r="O138" s="255" t="b">
        <f t="shared" si="38"/>
        <v>1</v>
      </c>
      <c r="P138" s="256">
        <f>COUNTIF(O$2:O138, TRUE)/(COUNTIF(O$2:O138,FALSE) + COUNTIF(O$2:O138, TRUE))</f>
        <v>0.45255474452554745</v>
      </c>
      <c r="Q138" s="343"/>
      <c r="R138" s="343"/>
      <c r="S138" s="343"/>
      <c r="T138" s="343"/>
      <c r="U138" s="256">
        <f>STDEV(D$2:D138)*SQRT(252)</f>
        <v>0.20520805198323436</v>
      </c>
      <c r="V138" s="256">
        <f>STDEV(L$2:L138)*SQRT(252)</f>
        <v>0.40773104370834762</v>
      </c>
      <c r="W138" s="255">
        <f t="shared" si="43"/>
        <v>-0.77507557954319672</v>
      </c>
    </row>
    <row r="139" spans="1:23" ht="20.100000000000001" customHeight="1" x14ac:dyDescent="0.25">
      <c r="B139" s="248">
        <v>42432</v>
      </c>
      <c r="C139" s="338">
        <v>1993.4</v>
      </c>
      <c r="D139" s="174">
        <f t="shared" si="46"/>
        <v>3.4860745793428975E-3</v>
      </c>
      <c r="E139" s="250">
        <f t="shared" si="47"/>
        <v>-5.1863549019234775E-2</v>
      </c>
      <c r="F139" s="251">
        <v>4707.42</v>
      </c>
      <c r="G139" s="174">
        <f t="shared" si="44"/>
        <v>8.5044499534381367E-4</v>
      </c>
      <c r="H139" s="252">
        <f t="shared" si="42"/>
        <v>-7.5471846338158136E-2</v>
      </c>
      <c r="I139" s="253">
        <v>284465.09999999998</v>
      </c>
      <c r="J139" s="254">
        <v>400000</v>
      </c>
      <c r="K139" s="254">
        <f t="shared" si="36"/>
        <v>10874.049999999988</v>
      </c>
      <c r="L139" s="174">
        <f t="shared" si="45"/>
        <v>3.9745634954067355E-2</v>
      </c>
      <c r="M139" s="255">
        <f t="shared" si="39"/>
        <v>-115534.90000000002</v>
      </c>
      <c r="N139" s="256">
        <f t="shared" si="40"/>
        <v>-0.28883725000000005</v>
      </c>
      <c r="O139" s="255" t="b">
        <f t="shared" si="38"/>
        <v>1</v>
      </c>
      <c r="P139" s="256">
        <f>COUNTIF(O$2:O139, TRUE)/(COUNTIF(O$2:O139,FALSE) + COUNTIF(O$2:O139, TRUE))</f>
        <v>0.45652173913043476</v>
      </c>
      <c r="Q139" s="343"/>
      <c r="R139" s="343"/>
      <c r="S139" s="343"/>
      <c r="T139" s="343"/>
      <c r="U139" s="256">
        <f>STDEV(D$2:D139)*SQRT(252)</f>
        <v>0.20451785527923064</v>
      </c>
      <c r="V139" s="256">
        <f>STDEV(L$2:L139)*SQRT(252)</f>
        <v>0.41011498593156359</v>
      </c>
      <c r="W139" s="255">
        <f t="shared" si="43"/>
        <v>-0.70428357877221948</v>
      </c>
    </row>
    <row r="140" spans="1:23" ht="20.100000000000001" customHeight="1" x14ac:dyDescent="0.25">
      <c r="B140" s="248">
        <v>42433</v>
      </c>
      <c r="C140" s="249">
        <v>1999.99</v>
      </c>
      <c r="D140" s="174">
        <f t="shared" si="46"/>
        <v>3.3059095013544286E-3</v>
      </c>
      <c r="E140" s="250">
        <f t="shared" ref="E140:E171" si="48">(C140-$C$2)/$C$2</f>
        <v>-4.8729095717356993E-2</v>
      </c>
      <c r="F140" s="251">
        <v>4717.0200000000004</v>
      </c>
      <c r="G140" s="174">
        <f t="shared" si="44"/>
        <v>2.0393336477306811E-3</v>
      </c>
      <c r="H140" s="252">
        <f t="shared" si="42"/>
        <v>-7.3586424966121222E-2</v>
      </c>
      <c r="I140" s="253">
        <v>295168.58</v>
      </c>
      <c r="J140" s="254">
        <v>400000</v>
      </c>
      <c r="K140" s="254">
        <f t="shared" si="36"/>
        <v>10703.48000000004</v>
      </c>
      <c r="L140" s="174">
        <f t="shared" si="45"/>
        <v>3.7626689530631495E-2</v>
      </c>
      <c r="M140" s="255">
        <f t="shared" si="39"/>
        <v>-104831.41999999998</v>
      </c>
      <c r="N140" s="256">
        <f t="shared" si="40"/>
        <v>-0.26207854999999997</v>
      </c>
      <c r="O140" s="255" t="b">
        <f t="shared" si="38"/>
        <v>1</v>
      </c>
      <c r="P140" s="256">
        <f>COUNTIF(O$2:O140, TRUE)/(COUNTIF(O$2:O140,FALSE) + COUNTIF(O$2:O140, TRUE))</f>
        <v>0.46043165467625902</v>
      </c>
      <c r="Q140" s="343"/>
      <c r="R140" s="343"/>
      <c r="S140" s="343"/>
      <c r="T140" s="343"/>
      <c r="U140" s="256">
        <f>STDEV(D$2:D140)*SQRT(252)</f>
        <v>0.20382852547723848</v>
      </c>
      <c r="V140" s="256">
        <f>STDEV(L$2:L140)*SQRT(252)</f>
        <v>0.41201829569755161</v>
      </c>
      <c r="W140" s="255">
        <f t="shared" si="43"/>
        <v>-0.63608473880097494</v>
      </c>
    </row>
    <row r="141" spans="1:23" ht="20.100000000000001" customHeight="1" x14ac:dyDescent="0.25">
      <c r="B141" s="175">
        <v>42436</v>
      </c>
      <c r="C141" s="219">
        <v>2001.76</v>
      </c>
      <c r="D141" s="174">
        <f t="shared" si="46"/>
        <v>8.8500442502211603E-4</v>
      </c>
      <c r="E141" s="213">
        <f t="shared" si="48"/>
        <v>-4.7887216757672067E-2</v>
      </c>
      <c r="F141" s="223">
        <v>4708.5200000000004</v>
      </c>
      <c r="G141" s="174">
        <f t="shared" si="44"/>
        <v>-1.8019851516423502E-3</v>
      </c>
      <c r="H141" s="207">
        <f t="shared" si="42"/>
        <v>-7.5255808472612165E-2</v>
      </c>
      <c r="I141" s="225">
        <v>295332.12</v>
      </c>
      <c r="J141" s="176">
        <v>400000</v>
      </c>
      <c r="K141" s="176">
        <f t="shared" si="36"/>
        <v>163.53999999997905</v>
      </c>
      <c r="L141" s="174">
        <f t="shared" si="45"/>
        <v>5.5405626167927171E-4</v>
      </c>
      <c r="M141" s="186">
        <f t="shared" si="39"/>
        <v>-104667.88</v>
      </c>
      <c r="N141" s="188">
        <f t="shared" si="40"/>
        <v>-0.26166970000000001</v>
      </c>
      <c r="O141" s="186" t="b">
        <f t="shared" si="38"/>
        <v>0</v>
      </c>
      <c r="P141" s="188">
        <f>COUNTIF(O$2:O141, TRUE)/(COUNTIF(O$2:O141,FALSE) + COUNTIF(O$2:O141, TRUE))</f>
        <v>0.45714285714285713</v>
      </c>
      <c r="Q141" s="342"/>
      <c r="R141" s="342"/>
      <c r="S141" s="342"/>
      <c r="T141" s="342"/>
      <c r="U141" s="188">
        <f>STDEV(D$2:D141)*SQRT(252)</f>
        <v>0.20309473146639889</v>
      </c>
      <c r="V141" s="188">
        <f>STDEV(L$2:L141)*SQRT(252)</f>
        <v>0.41052951691081185</v>
      </c>
      <c r="W141" s="186">
        <f t="shared" si="43"/>
        <v>-0.63739558112419026</v>
      </c>
    </row>
    <row r="142" spans="1:23" ht="20.100000000000001" customHeight="1" x14ac:dyDescent="0.25">
      <c r="B142" s="175">
        <v>42437</v>
      </c>
      <c r="C142" s="219">
        <v>1979.26</v>
      </c>
      <c r="D142" s="174">
        <f t="shared" si="46"/>
        <v>-1.124010870434018E-2</v>
      </c>
      <c r="E142" s="213">
        <f t="shared" si="48"/>
        <v>-5.8589067940107716E-2</v>
      </c>
      <c r="F142" s="223">
        <v>4648.82</v>
      </c>
      <c r="G142" s="174">
        <f t="shared" si="44"/>
        <v>-1.2679143340157994E-2</v>
      </c>
      <c r="H142" s="207">
        <f t="shared" ref="H142:H173" si="49">(F142-F$2)/F$2</f>
        <v>-8.6980772629966438E-2</v>
      </c>
      <c r="I142" s="225">
        <v>279655.23</v>
      </c>
      <c r="J142" s="176">
        <v>400000</v>
      </c>
      <c r="K142" s="176">
        <f t="shared" si="36"/>
        <v>-15676.890000000014</v>
      </c>
      <c r="L142" s="174">
        <f t="shared" si="45"/>
        <v>-5.3082238396555084E-2</v>
      </c>
      <c r="M142" s="186">
        <f t="shared" si="39"/>
        <v>-120344.77000000002</v>
      </c>
      <c r="N142" s="188">
        <f t="shared" si="40"/>
        <v>-0.30086192500000003</v>
      </c>
      <c r="O142" s="186" t="b">
        <f t="shared" si="38"/>
        <v>0</v>
      </c>
      <c r="P142" s="188">
        <f>COUNTIF(O$2:O142, TRUE)/(COUNTIF(O$2:O142,FALSE) + COUNTIF(O$2:O142, TRUE))</f>
        <v>0.45390070921985815</v>
      </c>
      <c r="Q142" s="342"/>
      <c r="R142" s="342"/>
      <c r="S142" s="342"/>
      <c r="T142" s="342"/>
      <c r="U142" s="188">
        <f>STDEV(D$2:D142)*SQRT(252)</f>
        <v>0.2028972139328496</v>
      </c>
      <c r="V142" s="188">
        <f>STDEV(L$2:L142)*SQRT(252)</f>
        <v>0.41493428525347442</v>
      </c>
      <c r="W142" s="186">
        <f t="shared" si="43"/>
        <v>-0.72508331003838344</v>
      </c>
    </row>
    <row r="143" spans="1:23" ht="20.100000000000001" customHeight="1" x14ac:dyDescent="0.25">
      <c r="B143" s="175">
        <v>42438</v>
      </c>
      <c r="C143" s="219">
        <v>1989.26</v>
      </c>
      <c r="D143" s="174">
        <f t="shared" si="46"/>
        <v>5.0523933187150757E-3</v>
      </c>
      <c r="E143" s="213">
        <f t="shared" si="48"/>
        <v>-5.3832689636802981E-2</v>
      </c>
      <c r="F143" s="223">
        <v>4674.37</v>
      </c>
      <c r="G143" s="174">
        <f t="shared" si="44"/>
        <v>5.4960183444401336E-3</v>
      </c>
      <c r="H143" s="207">
        <f t="shared" si="49"/>
        <v>-8.1962802207514174E-2</v>
      </c>
      <c r="I143" s="225">
        <v>284441.56</v>
      </c>
      <c r="J143" s="176">
        <v>400000</v>
      </c>
      <c r="K143" s="176">
        <f t="shared" si="36"/>
        <v>4786.3300000000163</v>
      </c>
      <c r="L143" s="174">
        <f t="shared" si="45"/>
        <v>1.7115109915877547E-2</v>
      </c>
      <c r="M143" s="186">
        <f t="shared" si="39"/>
        <v>-115558.44</v>
      </c>
      <c r="N143" s="188">
        <f t="shared" si="40"/>
        <v>-0.28889609999999999</v>
      </c>
      <c r="O143" s="186" t="b">
        <f t="shared" si="38"/>
        <v>1</v>
      </c>
      <c r="P143" s="188">
        <f>COUNTIF(O$2:O143, TRUE)/(COUNTIF(O$2:O143,FALSE) + COUNTIF(O$2:O143, TRUE))</f>
        <v>0.45774647887323944</v>
      </c>
      <c r="Q143" s="342"/>
      <c r="R143" s="342"/>
      <c r="S143" s="342"/>
      <c r="T143" s="342"/>
      <c r="U143" s="188">
        <f>STDEV(D$2:D143)*SQRT(252)</f>
        <v>0.20230024410689199</v>
      </c>
      <c r="V143" s="188">
        <f>STDEV(L$2:L143)*SQRT(252)</f>
        <v>0.41420228414527577</v>
      </c>
      <c r="W143" s="186">
        <f t="shared" si="43"/>
        <v>-0.69747587364504648</v>
      </c>
    </row>
    <row r="144" spans="1:23" ht="20.100000000000001" customHeight="1" x14ac:dyDescent="0.25">
      <c r="A144" s="225"/>
      <c r="B144" s="175">
        <v>42439</v>
      </c>
      <c r="C144" s="219">
        <v>1989.57</v>
      </c>
      <c r="D144" s="174">
        <f t="shared" si="46"/>
        <v>1.5583684385145504E-4</v>
      </c>
      <c r="E144" s="213">
        <f t="shared" si="48"/>
        <v>-5.3685241909400563E-2</v>
      </c>
      <c r="F144" s="223">
        <v>4662.1499999999996</v>
      </c>
      <c r="G144" s="174">
        <f t="shared" si="44"/>
        <v>-2.6142560387817514E-3</v>
      </c>
      <c r="H144" s="207">
        <f t="shared" si="49"/>
        <v>-8.4362786495669459E-2</v>
      </c>
      <c r="I144" s="225">
        <v>287418.99</v>
      </c>
      <c r="J144" s="176">
        <v>400000</v>
      </c>
      <c r="K144" s="176">
        <f t="shared" si="36"/>
        <v>2977.429999999993</v>
      </c>
      <c r="L144" s="174">
        <f t="shared" si="45"/>
        <v>1.0467633492095856E-2</v>
      </c>
      <c r="M144" s="186">
        <f t="shared" si="39"/>
        <v>-112581.01000000001</v>
      </c>
      <c r="N144" s="188">
        <f t="shared" si="40"/>
        <v>-0.28145252500000001</v>
      </c>
      <c r="O144" s="186" t="b">
        <f t="shared" si="38"/>
        <v>1</v>
      </c>
      <c r="P144" s="188">
        <f>COUNTIF(O$2:O144, TRUE)/(COUNTIF(O$2:O144,FALSE) + COUNTIF(O$2:O144, TRUE))</f>
        <v>0.46153846153846156</v>
      </c>
      <c r="Q144" s="342"/>
      <c r="R144" s="342"/>
      <c r="S144" s="342"/>
      <c r="T144" s="342"/>
      <c r="U144" s="188">
        <f>STDEV(D$2:D144)*SQRT(252)</f>
        <v>0.20158255288168328</v>
      </c>
      <c r="V144" s="188">
        <f>STDEV(L$2:L144)*SQRT(252)</f>
        <v>0.41303460915058671</v>
      </c>
      <c r="W144" s="186">
        <f t="shared" si="43"/>
        <v>-0.68142600829216782</v>
      </c>
    </row>
    <row r="145" spans="2:23" ht="20.100000000000001" customHeight="1" x14ac:dyDescent="0.25">
      <c r="B145" s="175">
        <v>42440</v>
      </c>
      <c r="C145" s="219">
        <v>2022.19</v>
      </c>
      <c r="D145" s="174">
        <f t="shared" si="46"/>
        <v>1.6395502545776285E-2</v>
      </c>
      <c r="E145" s="213">
        <f t="shared" si="48"/>
        <v>-3.816993588402047E-2</v>
      </c>
      <c r="F145" s="223">
        <v>4748.47</v>
      </c>
      <c r="G145" s="174">
        <f t="shared" si="44"/>
        <v>1.8515062792917564E-2</v>
      </c>
      <c r="H145" s="207">
        <f t="shared" si="49"/>
        <v>-6.7409705992104718E-2</v>
      </c>
      <c r="I145" s="225">
        <v>297529.25</v>
      </c>
      <c r="J145" s="176">
        <v>400000</v>
      </c>
      <c r="K145" s="176">
        <f t="shared" si="36"/>
        <v>10110.260000000009</v>
      </c>
      <c r="L145" s="174">
        <f t="shared" si="45"/>
        <v>3.5176033427714741E-2</v>
      </c>
      <c r="M145" s="186">
        <f t="shared" si="39"/>
        <v>-102470.75</v>
      </c>
      <c r="N145" s="188">
        <f t="shared" si="40"/>
        <v>-0.25617687500000003</v>
      </c>
      <c r="O145" s="186" t="b">
        <f t="shared" si="38"/>
        <v>1</v>
      </c>
      <c r="P145" s="188">
        <f>COUNTIF(O$2:O145, TRUE)/(COUNTIF(O$2:O145,FALSE) + COUNTIF(O$2:O145, TRUE))</f>
        <v>0.46527777777777779</v>
      </c>
      <c r="Q145" s="342"/>
      <c r="R145" s="342"/>
      <c r="S145" s="342"/>
      <c r="T145" s="342"/>
      <c r="U145" s="188">
        <f>STDEV(D$2:D145)*SQRT(252)</f>
        <v>0.20209170666788678</v>
      </c>
      <c r="V145" s="188">
        <f>STDEV(L$2:L145)*SQRT(252)</f>
        <v>0.41442203469244021</v>
      </c>
      <c r="W145" s="186">
        <f t="shared" si="43"/>
        <v>-0.61815457083530689</v>
      </c>
    </row>
    <row r="146" spans="2:23" ht="20.100000000000001" customHeight="1" x14ac:dyDescent="0.25">
      <c r="B146" s="248">
        <v>42443</v>
      </c>
      <c r="C146" s="249">
        <v>2019.64</v>
      </c>
      <c r="D146" s="174">
        <f t="shared" si="46"/>
        <v>-1.261009103991195E-3</v>
      </c>
      <c r="E146" s="250">
        <f t="shared" si="48"/>
        <v>-3.9382812351363157E-2</v>
      </c>
      <c r="F146" s="251">
        <v>4750.28</v>
      </c>
      <c r="G146" s="174">
        <f t="shared" si="44"/>
        <v>3.8117541018464697E-4</v>
      </c>
      <c r="H146" s="252">
        <f t="shared" si="49"/>
        <v>-6.7054225504252038E-2</v>
      </c>
      <c r="I146" s="253">
        <v>295383.49</v>
      </c>
      <c r="J146" s="254">
        <v>400000</v>
      </c>
      <c r="K146" s="254">
        <f t="shared" si="36"/>
        <v>-2145.7600000000093</v>
      </c>
      <c r="L146" s="174">
        <f t="shared" si="45"/>
        <v>-7.2119295833939327E-3</v>
      </c>
      <c r="M146" s="255">
        <f t="shared" si="39"/>
        <v>-104616.51000000001</v>
      </c>
      <c r="N146" s="256">
        <f t="shared" si="40"/>
        <v>-0.26154127500000002</v>
      </c>
      <c r="O146" s="255" t="b">
        <f t="shared" si="38"/>
        <v>0</v>
      </c>
      <c r="P146" s="256">
        <f>COUNTIF(O$2:O146, TRUE)/(COUNTIF(O$2:O146,FALSE) + COUNTIF(O$2:O146, TRUE))</f>
        <v>0.46206896551724136</v>
      </c>
      <c r="Q146" s="254"/>
      <c r="R146" s="254"/>
      <c r="S146" s="254"/>
      <c r="T146" s="254"/>
      <c r="U146" s="256">
        <f>STDEV(D$2:D146)*SQRT(252)</f>
        <v>0.20138882204680125</v>
      </c>
      <c r="V146" s="256">
        <f>STDEV(L$2:L146)*SQRT(252)</f>
        <v>0.41305007987980863</v>
      </c>
      <c r="W146" s="255">
        <f t="shared" si="43"/>
        <v>-0.63319507183270518</v>
      </c>
    </row>
    <row r="147" spans="2:23" ht="20.100000000000001" customHeight="1" x14ac:dyDescent="0.25">
      <c r="B147" s="248">
        <v>42444</v>
      </c>
      <c r="C147" s="249">
        <v>2015.93</v>
      </c>
      <c r="D147" s="174">
        <f t="shared" si="46"/>
        <v>-1.8369610425620587E-3</v>
      </c>
      <c r="E147" s="250">
        <f t="shared" si="48"/>
        <v>-4.1147428701889227E-2</v>
      </c>
      <c r="F147" s="251">
        <v>4728.66</v>
      </c>
      <c r="G147" s="174">
        <f t="shared" si="44"/>
        <v>-4.5513106595821496E-3</v>
      </c>
      <c r="H147" s="252">
        <f t="shared" si="49"/>
        <v>-7.1300351552526661E-2</v>
      </c>
      <c r="I147" s="253">
        <v>295669.06</v>
      </c>
      <c r="J147" s="254">
        <v>400000</v>
      </c>
      <c r="K147" s="254">
        <f t="shared" si="36"/>
        <v>285.57000000000698</v>
      </c>
      <c r="L147" s="174">
        <f t="shared" si="45"/>
        <v>9.6677712082014809E-4</v>
      </c>
      <c r="M147" s="255">
        <f t="shared" si="39"/>
        <v>-104330.94</v>
      </c>
      <c r="N147" s="256">
        <f t="shared" si="40"/>
        <v>-0.26082735000000001</v>
      </c>
      <c r="O147" s="255" t="b">
        <f t="shared" si="38"/>
        <v>1</v>
      </c>
      <c r="P147" s="256">
        <f>COUNTIF(O$2:O147, TRUE)/(COUNTIF(O$2:O147,FALSE) + COUNTIF(O$2:O147, TRUE))</f>
        <v>0.46575342465753422</v>
      </c>
      <c r="Q147" s="254"/>
      <c r="R147" s="254"/>
      <c r="S147" s="254"/>
      <c r="T147" s="254"/>
      <c r="U147" s="256">
        <f>STDEV(D$2:D147)*SQRT(252)</f>
        <v>0.20069995386729664</v>
      </c>
      <c r="V147" s="256">
        <f>STDEV(L$2:L147)*SQRT(252)</f>
        <v>0.41162261053938765</v>
      </c>
      <c r="W147" s="255">
        <f t="shared" si="43"/>
        <v>-0.63365651769763942</v>
      </c>
    </row>
    <row r="148" spans="2:23" ht="20.100000000000001" customHeight="1" x14ac:dyDescent="0.25">
      <c r="B148" s="248">
        <v>42445</v>
      </c>
      <c r="C148" s="249">
        <v>2027.22</v>
      </c>
      <c r="D148" s="174">
        <f t="shared" si="46"/>
        <v>5.6003928707841853E-3</v>
      </c>
      <c r="E148" s="250">
        <f t="shared" si="48"/>
        <v>-3.5777477597458203E-2</v>
      </c>
      <c r="F148" s="251">
        <v>4763.97</v>
      </c>
      <c r="G148" s="174">
        <f t="shared" si="44"/>
        <v>7.467231731611154E-3</v>
      </c>
      <c r="H148" s="252">
        <f t="shared" si="49"/>
        <v>-6.4365536068503565E-2</v>
      </c>
      <c r="I148" s="253">
        <v>297622.03999999998</v>
      </c>
      <c r="J148" s="254">
        <v>400000</v>
      </c>
      <c r="K148" s="254">
        <f t="shared" si="36"/>
        <v>1952.9799999999814</v>
      </c>
      <c r="L148" s="174">
        <f t="shared" si="45"/>
        <v>6.6052903878409917E-3</v>
      </c>
      <c r="M148" s="255">
        <f t="shared" si="39"/>
        <v>-102377.96000000002</v>
      </c>
      <c r="N148" s="256">
        <f t="shared" si="40"/>
        <v>-0.25594490000000003</v>
      </c>
      <c r="O148" s="255" t="b">
        <f t="shared" si="38"/>
        <v>1</v>
      </c>
      <c r="P148" s="256">
        <f>COUNTIF(O$2:O148, TRUE)/(COUNTIF(O$2:O148,FALSE) + COUNTIF(O$2:O148, TRUE))</f>
        <v>0.46938775510204084</v>
      </c>
      <c r="Q148" s="254">
        <v>208116.46</v>
      </c>
      <c r="R148" s="254">
        <f t="shared" ref="R148:R153" si="50">I148-Q148</f>
        <v>89505.579999999987</v>
      </c>
      <c r="S148" s="254"/>
      <c r="T148" s="254"/>
      <c r="U148" s="256">
        <f>STDEV(D$2:D148)*SQRT(252)</f>
        <v>0.20015232316185677</v>
      </c>
      <c r="V148" s="256">
        <f>STDEV(L$2:L148)*SQRT(252)</f>
        <v>0.41032597832718526</v>
      </c>
      <c r="W148" s="255">
        <f t="shared" si="43"/>
        <v>-0.62375992142499681</v>
      </c>
    </row>
    <row r="149" spans="2:23" ht="20.100000000000001" customHeight="1" x14ac:dyDescent="0.25">
      <c r="B149" s="248">
        <v>42446</v>
      </c>
      <c r="C149" s="249">
        <v>2040.59</v>
      </c>
      <c r="D149" s="174">
        <f t="shared" si="46"/>
        <v>6.5952387999328593E-3</v>
      </c>
      <c r="E149" s="250">
        <f t="shared" si="48"/>
        <v>-2.9418199805939828E-2</v>
      </c>
      <c r="F149" s="251">
        <v>4774.9799999999996</v>
      </c>
      <c r="G149" s="174">
        <f t="shared" si="44"/>
        <v>2.3110976769373671E-3</v>
      </c>
      <c r="H149" s="252">
        <f t="shared" si="49"/>
        <v>-6.2203193432448942E-2</v>
      </c>
      <c r="I149" s="253">
        <v>298243.74</v>
      </c>
      <c r="J149" s="254">
        <v>400000</v>
      </c>
      <c r="K149" s="254">
        <f t="shared" si="36"/>
        <v>621.70000000001164</v>
      </c>
      <c r="L149" s="174">
        <f t="shared" si="45"/>
        <v>2.0888909974543946E-3</v>
      </c>
      <c r="M149" s="255">
        <f t="shared" si="39"/>
        <v>-101756.26000000001</v>
      </c>
      <c r="N149" s="256">
        <f t="shared" si="40"/>
        <v>-0.25439065</v>
      </c>
      <c r="O149" s="255" t="b">
        <f t="shared" si="38"/>
        <v>0</v>
      </c>
      <c r="P149" s="256">
        <f>COUNTIF(O$2:O149, TRUE)/(COUNTIF(O$2:O149,FALSE) + COUNTIF(O$2:O149, TRUE))</f>
        <v>0.46621621621621623</v>
      </c>
      <c r="Q149" s="254">
        <v>201345.75</v>
      </c>
      <c r="R149" s="254">
        <f t="shared" si="50"/>
        <v>96897.989999999991</v>
      </c>
      <c r="S149" s="254"/>
      <c r="T149" s="254"/>
      <c r="U149" s="256">
        <f>STDEV(D$2:D149)*SQRT(252)</f>
        <v>0.19966229894539708</v>
      </c>
      <c r="V149" s="256">
        <f>STDEV(L$2:L149)*SQRT(252)</f>
        <v>0.40893908230401166</v>
      </c>
      <c r="W149" s="255">
        <f t="shared" si="43"/>
        <v>-0.6220746830230377</v>
      </c>
    </row>
    <row r="150" spans="2:23" ht="20.100000000000001" customHeight="1" x14ac:dyDescent="0.25">
      <c r="B150" s="248">
        <v>42447</v>
      </c>
      <c r="C150" s="249">
        <v>2049.56</v>
      </c>
      <c r="D150" s="174">
        <f t="shared" si="46"/>
        <v>4.3957874928329688E-3</v>
      </c>
      <c r="E150" s="250">
        <f t="shared" si="48"/>
        <v>-2.5151728467875473E-2</v>
      </c>
      <c r="F150" s="251">
        <v>4795.6499999999996</v>
      </c>
      <c r="G150" s="174">
        <f t="shared" si="44"/>
        <v>4.3288139426762157E-3</v>
      </c>
      <c r="H150" s="252">
        <f t="shared" si="49"/>
        <v>-5.8143645540782093E-2</v>
      </c>
      <c r="I150" s="253">
        <v>302252.61</v>
      </c>
      <c r="J150" s="254">
        <v>400000</v>
      </c>
      <c r="K150" s="254">
        <f t="shared" si="36"/>
        <v>4008.8699999999953</v>
      </c>
      <c r="L150" s="174">
        <f t="shared" si="45"/>
        <v>1.3441589754742196E-2</v>
      </c>
      <c r="M150" s="255">
        <f t="shared" si="39"/>
        <v>-97747.390000000014</v>
      </c>
      <c r="N150" s="256">
        <f t="shared" si="40"/>
        <v>-0.24436847500000003</v>
      </c>
      <c r="O150" s="255" t="b">
        <f t="shared" si="38"/>
        <v>1</v>
      </c>
      <c r="P150" s="256">
        <f>COUNTIF(O$2:O150, TRUE)/(COUNTIF(O$2:O150,FALSE) + COUNTIF(O$2:O150, TRUE))</f>
        <v>0.46979865771812079</v>
      </c>
      <c r="Q150" s="254">
        <v>189023.24</v>
      </c>
      <c r="R150" s="254">
        <f t="shared" si="50"/>
        <v>113229.37</v>
      </c>
      <c r="S150" s="254"/>
      <c r="T150" s="254"/>
      <c r="U150" s="256">
        <f>STDEV(D$2:D150)*SQRT(252)</f>
        <v>0.19906941872329306</v>
      </c>
      <c r="V150" s="256">
        <f>STDEV(L$2:L150)*SQRT(252)</f>
        <v>0.40798335166369004</v>
      </c>
      <c r="W150" s="255">
        <f t="shared" si="43"/>
        <v>-0.59896678137356574</v>
      </c>
    </row>
    <row r="151" spans="2:23" ht="20.100000000000001" customHeight="1" x14ac:dyDescent="0.25">
      <c r="B151" s="175">
        <v>42450</v>
      </c>
      <c r="C151" s="219">
        <v>2051.6</v>
      </c>
      <c r="D151" s="174">
        <f t="shared" si="46"/>
        <v>9.9533558422293736E-4</v>
      </c>
      <c r="E151" s="213">
        <f t="shared" si="48"/>
        <v>-2.4181427294001325E-2</v>
      </c>
      <c r="F151" s="223">
        <v>4808.87</v>
      </c>
      <c r="G151" s="174">
        <f t="shared" si="44"/>
        <v>2.7566648942271132E-3</v>
      </c>
      <c r="H151" s="207">
        <f t="shared" si="49"/>
        <v>-5.5547263193039639E-2</v>
      </c>
      <c r="I151" s="225">
        <v>302397.02</v>
      </c>
      <c r="J151" s="176">
        <v>400000</v>
      </c>
      <c r="K151" s="176">
        <f t="shared" si="36"/>
        <v>144.4100000000326</v>
      </c>
      <c r="L151" s="174">
        <f t="shared" si="45"/>
        <v>4.7777916624121991E-4</v>
      </c>
      <c r="M151" s="186">
        <f t="shared" si="39"/>
        <v>-97602.979999999981</v>
      </c>
      <c r="N151" s="188">
        <f t="shared" si="40"/>
        <v>-0.24400744999999996</v>
      </c>
      <c r="O151" s="186" t="b">
        <f t="shared" si="38"/>
        <v>0</v>
      </c>
      <c r="P151" s="188">
        <f>COUNTIF(O$2:O151, TRUE)/(COUNTIF(O$2:O151,FALSE) + COUNTIF(O$2:O151, TRUE))</f>
        <v>0.46666666666666667</v>
      </c>
      <c r="Q151" s="176">
        <v>190702.94</v>
      </c>
      <c r="R151" s="176">
        <f t="shared" si="50"/>
        <v>111694.08000000002</v>
      </c>
      <c r="S151" s="176"/>
      <c r="T151" s="176"/>
      <c r="U151" s="188">
        <f>STDEV(D$2:D151)*SQRT(252)</f>
        <v>0.19840080405595206</v>
      </c>
      <c r="V151" s="188">
        <f>STDEV(L$2:L151)*SQRT(252)</f>
        <v>0.40660686098578552</v>
      </c>
      <c r="W151" s="186">
        <f t="shared" si="43"/>
        <v>-0.60010657323495131</v>
      </c>
    </row>
    <row r="152" spans="2:23" ht="20.100000000000001" customHeight="1" x14ac:dyDescent="0.25">
      <c r="B152" s="175">
        <v>42451</v>
      </c>
      <c r="C152" s="219">
        <v>2052.6</v>
      </c>
      <c r="D152" s="174">
        <f t="shared" si="46"/>
        <v>4.8742444921037243E-4</v>
      </c>
      <c r="E152" s="213">
        <f t="shared" si="48"/>
        <v>-2.370578946367085E-2</v>
      </c>
      <c r="F152" s="223">
        <v>4809.87</v>
      </c>
      <c r="G152" s="174">
        <f t="shared" si="44"/>
        <v>2.0794906079806691E-4</v>
      </c>
      <c r="H152" s="207">
        <f t="shared" si="49"/>
        <v>-5.535086513345247E-2</v>
      </c>
      <c r="I152" s="225">
        <v>300927.05</v>
      </c>
      <c r="J152" s="176">
        <v>400000</v>
      </c>
      <c r="K152" s="176">
        <f t="shared" ref="K152:K183" si="51">I152-I151-J152+J151</f>
        <v>-1469.9700000000303</v>
      </c>
      <c r="L152" s="174">
        <f t="shared" si="45"/>
        <v>-4.8610598080630228E-3</v>
      </c>
      <c r="M152" s="186">
        <f t="shared" si="39"/>
        <v>-99072.950000000012</v>
      </c>
      <c r="N152" s="188">
        <f t="shared" si="40"/>
        <v>-0.24768237500000004</v>
      </c>
      <c r="O152" s="186" t="b">
        <f t="shared" si="38"/>
        <v>0</v>
      </c>
      <c r="P152" s="188">
        <f>COUNTIF(O$2:O152, TRUE)/(COUNTIF(O$2:O152,FALSE) + COUNTIF(O$2:O152, TRUE))</f>
        <v>0.46357615894039733</v>
      </c>
      <c r="Q152" s="176">
        <v>208698.82</v>
      </c>
      <c r="R152" s="176">
        <f t="shared" si="50"/>
        <v>92228.229999999981</v>
      </c>
      <c r="S152" s="176"/>
      <c r="T152" s="176"/>
      <c r="U152" s="188">
        <f>STDEV(D$2:D152)*SQRT(252)</f>
        <v>0.19773530847085422</v>
      </c>
      <c r="V152" s="188">
        <f>STDEV(L$2:L152)*SQRT(252)</f>
        <v>0.40527216981287528</v>
      </c>
      <c r="W152" s="186">
        <f t="shared" si="43"/>
        <v>-0.61115071166707902</v>
      </c>
    </row>
    <row r="153" spans="2:23" ht="20.100000000000001" customHeight="1" x14ac:dyDescent="0.25">
      <c r="B153" s="175">
        <v>42452</v>
      </c>
      <c r="C153" s="219">
        <v>2036.71</v>
      </c>
      <c r="D153" s="174">
        <f t="shared" si="46"/>
        <v>-7.7414011497612166E-3</v>
      </c>
      <c r="E153" s="213">
        <f t="shared" si="48"/>
        <v>-3.1263674587622012E-2</v>
      </c>
      <c r="F153" s="223">
        <v>4768.8599999999997</v>
      </c>
      <c r="G153" s="174">
        <f t="shared" si="44"/>
        <v>-8.5262179643109306E-3</v>
      </c>
      <c r="H153" s="207">
        <f t="shared" si="49"/>
        <v>-6.3405149557122412E-2</v>
      </c>
      <c r="I153" s="225">
        <v>283106.53999999998</v>
      </c>
      <c r="J153" s="176">
        <v>400000</v>
      </c>
      <c r="K153" s="176">
        <f t="shared" si="51"/>
        <v>-17820.510000000009</v>
      </c>
      <c r="L153" s="174">
        <f t="shared" si="45"/>
        <v>-5.9218704333824458E-2</v>
      </c>
      <c r="M153" s="186">
        <f t="shared" si="39"/>
        <v>-116893.46000000002</v>
      </c>
      <c r="N153" s="188">
        <f t="shared" si="40"/>
        <v>-0.29223365000000007</v>
      </c>
      <c r="O153" s="186" t="b">
        <f t="shared" si="38"/>
        <v>0</v>
      </c>
      <c r="P153" s="188">
        <f>COUNTIF(O$2:O153, TRUE)/(COUNTIF(O$2:O153,FALSE) + COUNTIF(O$2:O153, TRUE))</f>
        <v>0.46052631578947367</v>
      </c>
      <c r="Q153" s="176">
        <v>233281.17</v>
      </c>
      <c r="R153" s="176">
        <f t="shared" si="50"/>
        <v>49825.369999999966</v>
      </c>
      <c r="S153" s="176"/>
      <c r="T153" s="176"/>
      <c r="U153" s="188">
        <f>STDEV(D$2:D153)*SQRT(252)</f>
        <v>0.19732328223466214</v>
      </c>
      <c r="V153" s="188">
        <f>STDEV(L$2:L153)*SQRT(252)</f>
        <v>0.41087213630897762</v>
      </c>
      <c r="W153" s="186">
        <f t="shared" si="43"/>
        <v>-0.71125205185546847</v>
      </c>
    </row>
    <row r="154" spans="2:23" ht="20.100000000000001" customHeight="1" x14ac:dyDescent="0.25">
      <c r="B154" s="175">
        <v>42453</v>
      </c>
      <c r="C154" s="219">
        <v>2035.94</v>
      </c>
      <c r="D154" s="174">
        <f t="shared" si="46"/>
        <v>-3.7806069592626431E-4</v>
      </c>
      <c r="E154" s="213">
        <f t="shared" si="48"/>
        <v>-3.1629915716976466E-2</v>
      </c>
      <c r="F154" s="223">
        <v>4773.5</v>
      </c>
      <c r="G154" s="174">
        <f t="shared" si="44"/>
        <v>9.7297886706683098E-4</v>
      </c>
      <c r="H154" s="207">
        <f t="shared" si="49"/>
        <v>-6.2493862560637867E-2</v>
      </c>
      <c r="I154" s="225">
        <v>283603.99</v>
      </c>
      <c r="J154" s="176">
        <v>400000</v>
      </c>
      <c r="K154" s="176">
        <f t="shared" si="51"/>
        <v>497.45000000001164</v>
      </c>
      <c r="L154" s="174">
        <f t="shared" si="45"/>
        <v>1.7571123577717832E-3</v>
      </c>
      <c r="M154" s="186">
        <f t="shared" si="39"/>
        <v>-116396.01000000001</v>
      </c>
      <c r="N154" s="188">
        <f t="shared" si="40"/>
        <v>-0.29099002500000004</v>
      </c>
      <c r="O154" s="186" t="b">
        <f t="shared" si="38"/>
        <v>1</v>
      </c>
      <c r="P154" s="188">
        <f>COUNTIF(O$2:O154, TRUE)/(COUNTIF(O$2:O154,FALSE) + COUNTIF(O$2:O154, TRUE))</f>
        <v>0.46405228758169936</v>
      </c>
      <c r="Q154" s="176">
        <v>233282.17</v>
      </c>
      <c r="R154" s="176">
        <f t="shared" ref="R154:R191" si="52">I154-Q154</f>
        <v>50321.819999999978</v>
      </c>
      <c r="S154" s="176"/>
      <c r="T154" s="176"/>
      <c r="U154" s="188">
        <f>STDEV(D$2:D154)*SQRT(252)</f>
        <v>0.19666906063244452</v>
      </c>
      <c r="V154" s="188">
        <f>STDEV(L$2:L154)*SQRT(252)</f>
        <v>0.40952879368350692</v>
      </c>
      <c r="W154" s="186">
        <f t="shared" si="43"/>
        <v>-0.71054838997446346</v>
      </c>
    </row>
    <row r="155" spans="2:23" ht="20.100000000000001" customHeight="1" x14ac:dyDescent="0.25">
      <c r="B155" s="248">
        <v>42457</v>
      </c>
      <c r="C155" s="249">
        <v>2037.05</v>
      </c>
      <c r="D155" s="174">
        <f t="shared" si="46"/>
        <v>5.4520270734889045E-4</v>
      </c>
      <c r="E155" s="250">
        <f t="shared" si="48"/>
        <v>-3.1101957725309687E-2</v>
      </c>
      <c r="F155" s="251">
        <v>4766.78</v>
      </c>
      <c r="G155" s="174">
        <f t="shared" si="44"/>
        <v>-1.4077720749974348E-3</v>
      </c>
      <c r="H155" s="252">
        <f t="shared" si="49"/>
        <v>-6.3813657521063702E-2</v>
      </c>
      <c r="I155" s="253">
        <v>281306.2</v>
      </c>
      <c r="J155" s="254">
        <v>400000</v>
      </c>
      <c r="K155" s="254">
        <f t="shared" si="51"/>
        <v>-2297.789999999979</v>
      </c>
      <c r="L155" s="174">
        <f t="shared" si="45"/>
        <v>-8.1021074491934297E-3</v>
      </c>
      <c r="M155" s="255">
        <f t="shared" si="39"/>
        <v>-118693.79999999999</v>
      </c>
      <c r="N155" s="256">
        <f t="shared" si="40"/>
        <v>-0.29673449999999996</v>
      </c>
      <c r="O155" s="255" t="b">
        <f t="shared" ref="O155:O191" si="53">L155&gt;D155</f>
        <v>0</v>
      </c>
      <c r="P155" s="256">
        <f>COUNTIF(O$2:O155, TRUE)/(COUNTIF(O$2:O155,FALSE) + COUNTIF(O$2:O155, TRUE))</f>
        <v>0.46103896103896103</v>
      </c>
      <c r="Q155" s="254">
        <v>231480.83</v>
      </c>
      <c r="R155" s="254">
        <f t="shared" si="52"/>
        <v>49825.370000000024</v>
      </c>
      <c r="S155" s="254"/>
      <c r="T155" s="254"/>
      <c r="U155" s="256">
        <f>STDEV(D$2:D155)*SQRT(252)</f>
        <v>0.19602299974071929</v>
      </c>
      <c r="V155" s="256">
        <f>STDEV(L$2:L155)*SQRT(252)</f>
        <v>0.40827222780986738</v>
      </c>
      <c r="W155" s="255">
        <f t="shared" si="43"/>
        <v>-0.72680549836024944</v>
      </c>
    </row>
    <row r="156" spans="2:23" ht="20.100000000000001" customHeight="1" x14ac:dyDescent="0.25">
      <c r="B156" s="248">
        <v>42458</v>
      </c>
      <c r="C156" s="249">
        <v>2055.0100000000002</v>
      </c>
      <c r="D156" s="174">
        <f t="shared" si="46"/>
        <v>8.8166711666381598E-3</v>
      </c>
      <c r="E156" s="250">
        <f t="shared" si="48"/>
        <v>-2.2559502292574262E-2</v>
      </c>
      <c r="F156" s="251">
        <v>4846.62</v>
      </c>
      <c r="G156" s="174">
        <f t="shared" si="44"/>
        <v>1.6749252115683993E-2</v>
      </c>
      <c r="H156" s="252">
        <f t="shared" si="49"/>
        <v>-4.8133236443623925E-2</v>
      </c>
      <c r="I156" s="253">
        <v>285322.46999999997</v>
      </c>
      <c r="J156" s="254">
        <v>400000</v>
      </c>
      <c r="K156" s="254">
        <f t="shared" si="51"/>
        <v>4016.2699999999604</v>
      </c>
      <c r="L156" s="174">
        <f t="shared" si="45"/>
        <v>1.4277218205641967E-2</v>
      </c>
      <c r="M156" s="255">
        <f t="shared" si="39"/>
        <v>-114677.53000000003</v>
      </c>
      <c r="N156" s="256">
        <f t="shared" si="40"/>
        <v>-0.28669382500000007</v>
      </c>
      <c r="O156" s="255" t="b">
        <f t="shared" si="53"/>
        <v>1</v>
      </c>
      <c r="P156" s="256">
        <f>COUNTIF(O$2:O156, TRUE)/(COUNTIF(O$2:O156,FALSE) + COUNTIF(O$2:O156, TRUE))</f>
        <v>0.46451612903225808</v>
      </c>
      <c r="Q156" s="254">
        <v>235497.1</v>
      </c>
      <c r="R156" s="254">
        <f t="shared" si="52"/>
        <v>49825.369999999966</v>
      </c>
      <c r="S156" s="254"/>
      <c r="T156" s="254"/>
      <c r="U156" s="256">
        <f>STDEV(D$2:D156)*SQRT(252)</f>
        <v>0.19571630227727144</v>
      </c>
      <c r="V156" s="256">
        <f>STDEV(L$2:L156)*SQRT(252)</f>
        <v>0.4074274282139313</v>
      </c>
      <c r="W156" s="255">
        <f t="shared" si="43"/>
        <v>-0.70366844533957928</v>
      </c>
    </row>
    <row r="157" spans="2:23" ht="20.100000000000001" customHeight="1" x14ac:dyDescent="0.25">
      <c r="B157" s="248">
        <v>42459</v>
      </c>
      <c r="C157" s="249">
        <v>2063.9499999999998</v>
      </c>
      <c r="D157" s="174">
        <f t="shared" si="46"/>
        <v>4.3503437939472799E-3</v>
      </c>
      <c r="E157" s="250">
        <f t="shared" si="48"/>
        <v>-1.8307300089420026E-2</v>
      </c>
      <c r="F157" s="251">
        <v>4869.29</v>
      </c>
      <c r="G157" s="174">
        <f t="shared" si="44"/>
        <v>4.6774865782751845E-3</v>
      </c>
      <c r="H157" s="252">
        <f t="shared" si="49"/>
        <v>-4.3680892432782739E-2</v>
      </c>
      <c r="I157" s="253">
        <v>288126.49</v>
      </c>
      <c r="J157" s="254">
        <v>400000</v>
      </c>
      <c r="K157" s="254">
        <f t="shared" si="51"/>
        <v>2804.0200000000186</v>
      </c>
      <c r="L157" s="174">
        <f t="shared" si="45"/>
        <v>9.8275470557927635E-3</v>
      </c>
      <c r="M157" s="255">
        <f t="shared" si="39"/>
        <v>-111873.51000000001</v>
      </c>
      <c r="N157" s="256">
        <f t="shared" si="40"/>
        <v>-0.27968377500000002</v>
      </c>
      <c r="O157" s="255" t="b">
        <f t="shared" si="53"/>
        <v>1</v>
      </c>
      <c r="P157" s="256">
        <f>COUNTIF(O$2:O157, TRUE)/(COUNTIF(O$2:O157,FALSE) + COUNTIF(O$2:O157, TRUE))</f>
        <v>0.46794871794871795</v>
      </c>
      <c r="Q157" s="254">
        <v>216771.49</v>
      </c>
      <c r="R157" s="254">
        <f t="shared" si="52"/>
        <v>71355</v>
      </c>
      <c r="S157" s="254"/>
      <c r="T157" s="254"/>
      <c r="U157" s="256">
        <f>STDEV(D$2:D157)*SQRT(252)</f>
        <v>0.19516132328288105</v>
      </c>
      <c r="V157" s="256">
        <f>STDEV(L$2:L157)*SQRT(252)</f>
        <v>0.40634858436204313</v>
      </c>
      <c r="W157" s="255">
        <f t="shared" si="43"/>
        <v>-0.68828534357784554</v>
      </c>
    </row>
    <row r="158" spans="2:23" ht="20.100000000000001" customHeight="1" x14ac:dyDescent="0.25">
      <c r="B158" s="248">
        <v>42460</v>
      </c>
      <c r="C158" s="249">
        <v>2059.7399999999998</v>
      </c>
      <c r="D158" s="174">
        <f t="shared" si="46"/>
        <v>-2.0397780953996156E-3</v>
      </c>
      <c r="E158" s="250">
        <f t="shared" si="48"/>
        <v>-2.0309735355111335E-2</v>
      </c>
      <c r="F158" s="251">
        <v>4869.84</v>
      </c>
      <c r="G158" s="174">
        <f t="shared" si="44"/>
        <v>1.129528124223823E-4</v>
      </c>
      <c r="H158" s="252">
        <f t="shared" si="49"/>
        <v>-4.3572873500009754E-2</v>
      </c>
      <c r="I158" s="484">
        <v>295667.37</v>
      </c>
      <c r="J158" s="254">
        <v>400000</v>
      </c>
      <c r="K158" s="254">
        <f t="shared" si="51"/>
        <v>7540.8800000000047</v>
      </c>
      <c r="L158" s="174">
        <f t="shared" si="45"/>
        <v>2.6172116281290222E-2</v>
      </c>
      <c r="M158" s="255">
        <f t="shared" ref="M158:M191" si="54">I158-J158</f>
        <v>-104332.63</v>
      </c>
      <c r="N158" s="256">
        <f t="shared" ref="N158:N189" si="55">M158/J158</f>
        <v>-0.26083157500000004</v>
      </c>
      <c r="O158" s="255" t="b">
        <f t="shared" si="53"/>
        <v>1</v>
      </c>
      <c r="P158" s="256">
        <f>COUNTIF(O$2:O158, TRUE)/(COUNTIF(O$2:O158,FALSE) + COUNTIF(O$2:O158, TRUE))</f>
        <v>0.4713375796178344</v>
      </c>
      <c r="Q158" s="254">
        <v>202826.77</v>
      </c>
      <c r="R158" s="254">
        <f t="shared" si="52"/>
        <v>92840.6</v>
      </c>
      <c r="S158" s="254"/>
      <c r="T158" s="254"/>
      <c r="U158" s="256">
        <f>STDEV(D$2:D158)*SQRT(252)</f>
        <v>0.19454728889036682</v>
      </c>
      <c r="V158" s="256">
        <f>STDEV(L$2:L158)*SQRT(252)</f>
        <v>0.40652602523849884</v>
      </c>
      <c r="W158" s="255">
        <f t="shared" si="43"/>
        <v>-0.64161101333420545</v>
      </c>
    </row>
    <row r="159" spans="2:23" ht="20.100000000000001" customHeight="1" x14ac:dyDescent="0.25">
      <c r="B159" s="248">
        <v>42461</v>
      </c>
      <c r="C159" s="249">
        <v>2072.7800000000002</v>
      </c>
      <c r="D159" s="174">
        <f t="shared" si="46"/>
        <v>6.3308961325217843E-3</v>
      </c>
      <c r="E159" s="250">
        <f t="shared" si="48"/>
        <v>-1.4107418047601765E-2</v>
      </c>
      <c r="F159" s="251">
        <v>4914.54</v>
      </c>
      <c r="G159" s="174">
        <f t="shared" si="44"/>
        <v>9.1789463308855762E-3</v>
      </c>
      <c r="H159" s="252">
        <f t="shared" si="49"/>
        <v>-3.4793880236463237E-2</v>
      </c>
      <c r="I159" s="253">
        <v>293885.49</v>
      </c>
      <c r="J159" s="254">
        <v>400000</v>
      </c>
      <c r="K159" s="254">
        <f t="shared" si="51"/>
        <v>-1781.8800000000047</v>
      </c>
      <c r="L159" s="174">
        <f t="shared" si="45"/>
        <v>-6.026637298529103E-3</v>
      </c>
      <c r="M159" s="255">
        <f t="shared" si="54"/>
        <v>-106114.51000000001</v>
      </c>
      <c r="N159" s="256">
        <f t="shared" si="55"/>
        <v>-0.26528627500000002</v>
      </c>
      <c r="O159" s="255" t="b">
        <f t="shared" si="53"/>
        <v>0</v>
      </c>
      <c r="P159" s="256">
        <f>COUNTIF(O$2:O159, TRUE)/(COUNTIF(O$2:O159,FALSE) + COUNTIF(O$2:O159, TRUE))</f>
        <v>0.46835443037974683</v>
      </c>
      <c r="Q159" s="254">
        <v>199513.83</v>
      </c>
      <c r="R159" s="254">
        <f t="shared" si="52"/>
        <v>94371.66</v>
      </c>
      <c r="S159" s="254"/>
      <c r="T159" s="254"/>
      <c r="U159" s="256">
        <f>STDEV(D$2:D159)*SQRT(252)</f>
        <v>0.19409152607046717</v>
      </c>
      <c r="V159" s="256">
        <f>STDEV(L$2:L159)*SQRT(252)</f>
        <v>0.40527068703901437</v>
      </c>
      <c r="W159" s="255">
        <f t="shared" si="43"/>
        <v>-0.65459033550694867</v>
      </c>
    </row>
    <row r="160" spans="2:23" ht="20.100000000000001" customHeight="1" x14ac:dyDescent="0.25">
      <c r="B160" s="175">
        <v>42464</v>
      </c>
      <c r="C160" s="219">
        <v>2066.13</v>
      </c>
      <c r="D160" s="174">
        <f t="shared" si="46"/>
        <v>-3.2082517199124318E-3</v>
      </c>
      <c r="E160" s="213">
        <f t="shared" si="48"/>
        <v>-1.7270409619299456E-2</v>
      </c>
      <c r="F160" s="223">
        <v>4891.79</v>
      </c>
      <c r="G160" s="174">
        <f t="shared" si="44"/>
        <v>-4.6291209350213854E-3</v>
      </c>
      <c r="H160" s="207">
        <f t="shared" si="49"/>
        <v>-3.9261936092071383E-2</v>
      </c>
      <c r="I160" s="225">
        <v>291382.05</v>
      </c>
      <c r="J160" s="176">
        <v>400000</v>
      </c>
      <c r="K160" s="176">
        <f t="shared" si="51"/>
        <v>-2503.4400000000023</v>
      </c>
      <c r="L160" s="174">
        <f t="shared" si="45"/>
        <v>-8.5184198784363334E-3</v>
      </c>
      <c r="M160" s="186">
        <f t="shared" si="54"/>
        <v>-108617.95000000001</v>
      </c>
      <c r="N160" s="188">
        <f t="shared" si="55"/>
        <v>-0.27154487500000002</v>
      </c>
      <c r="O160" s="186" t="b">
        <f t="shared" si="53"/>
        <v>0</v>
      </c>
      <c r="P160" s="188">
        <f>COUNTIF(O$2:O160, TRUE)/(COUNTIF(O$2:O160,FALSE) + COUNTIF(O$2:O160, TRUE))</f>
        <v>0.46540880503144655</v>
      </c>
      <c r="Q160" s="176">
        <v>199541.39</v>
      </c>
      <c r="R160" s="176">
        <f t="shared" si="52"/>
        <v>91840.659999999974</v>
      </c>
      <c r="S160" s="176"/>
      <c r="T160" s="176"/>
      <c r="U160" s="188">
        <f>STDEV(D$2:D160)*SQRT(252)</f>
        <v>0.19351440870684267</v>
      </c>
      <c r="V160" s="188">
        <f>STDEV(L$2:L160)*SQRT(252)</f>
        <v>0.40408811296561892</v>
      </c>
      <c r="W160" s="186">
        <f t="shared" si="43"/>
        <v>-0.67199421682345772</v>
      </c>
    </row>
    <row r="161" spans="2:23" ht="20.100000000000001" customHeight="1" x14ac:dyDescent="0.25">
      <c r="B161" s="175">
        <v>42465</v>
      </c>
      <c r="C161" s="219">
        <v>2045.17</v>
      </c>
      <c r="D161" s="174">
        <f t="shared" si="46"/>
        <v>-1.0144569799577004E-2</v>
      </c>
      <c r="E161" s="213">
        <f t="shared" si="48"/>
        <v>-2.7239778543026189E-2</v>
      </c>
      <c r="F161" s="223">
        <v>4843.93</v>
      </c>
      <c r="G161" s="174">
        <f t="shared" si="44"/>
        <v>-9.7837396944676028E-3</v>
      </c>
      <c r="H161" s="207">
        <f t="shared" si="49"/>
        <v>-4.8661547223913339E-2</v>
      </c>
      <c r="I161" s="225">
        <v>289909.68</v>
      </c>
      <c r="J161" s="176">
        <v>400000</v>
      </c>
      <c r="K161" s="176">
        <f t="shared" si="51"/>
        <v>-1472.3699999999953</v>
      </c>
      <c r="L161" s="174">
        <f t="shared" si="45"/>
        <v>-5.0530566313195871E-3</v>
      </c>
      <c r="M161" s="186">
        <f t="shared" si="54"/>
        <v>-110090.32</v>
      </c>
      <c r="N161" s="188">
        <f t="shared" si="55"/>
        <v>-0.27522580000000002</v>
      </c>
      <c r="O161" s="186" t="b">
        <f t="shared" si="53"/>
        <v>1</v>
      </c>
      <c r="P161" s="188">
        <f>COUNTIF(O$2:O161, TRUE)/(COUNTIF(O$2:O161,FALSE) + COUNTIF(O$2:O161, TRUE))</f>
        <v>0.46875</v>
      </c>
      <c r="Q161" s="176">
        <v>198034.04</v>
      </c>
      <c r="R161" s="176">
        <f t="shared" si="52"/>
        <v>91875.639999999985</v>
      </c>
      <c r="S161" s="176"/>
      <c r="T161" s="176"/>
      <c r="U161" s="188">
        <f>STDEV(D$2:D161)*SQRT(252)</f>
        <v>0.19332034289533651</v>
      </c>
      <c r="V161" s="188">
        <f>STDEV(L$2:L161)*SQRT(252)</f>
        <v>0.40283814257892614</v>
      </c>
      <c r="W161" s="186">
        <f t="shared" si="43"/>
        <v>-0.68321683303878389</v>
      </c>
    </row>
    <row r="162" spans="2:23" ht="20.100000000000001" customHeight="1" x14ac:dyDescent="0.25">
      <c r="B162" s="175">
        <v>42466</v>
      </c>
      <c r="C162" s="219">
        <v>2066.66</v>
      </c>
      <c r="D162" s="174">
        <f t="shared" si="46"/>
        <v>1.0507683957812691E-2</v>
      </c>
      <c r="E162" s="213">
        <f t="shared" si="48"/>
        <v>-1.7018321569224424E-2</v>
      </c>
      <c r="F162" s="223">
        <v>4920.71</v>
      </c>
      <c r="G162" s="174">
        <f t="shared" si="44"/>
        <v>1.5850765803799755E-2</v>
      </c>
      <c r="H162" s="207">
        <f t="shared" si="49"/>
        <v>-3.3582104208810373E-2</v>
      </c>
      <c r="I162" s="225">
        <v>294800.27</v>
      </c>
      <c r="J162" s="176">
        <v>400000</v>
      </c>
      <c r="K162" s="176">
        <f t="shared" si="51"/>
        <v>4890.5900000000256</v>
      </c>
      <c r="L162" s="174">
        <f t="shared" si="45"/>
        <v>1.6869357380547022E-2</v>
      </c>
      <c r="M162" s="186">
        <f t="shared" si="54"/>
        <v>-105199.72999999998</v>
      </c>
      <c r="N162" s="188">
        <f t="shared" si="55"/>
        <v>-0.26299932499999995</v>
      </c>
      <c r="O162" s="186" t="b">
        <f t="shared" si="53"/>
        <v>1</v>
      </c>
      <c r="P162" s="188">
        <f>COUNTIF(O$2:O162, TRUE)/(COUNTIF(O$2:O162,FALSE) + COUNTIF(O$2:O162, TRUE))</f>
        <v>0.47204968944099379</v>
      </c>
      <c r="Q162" s="176">
        <v>206520.01</v>
      </c>
      <c r="R162" s="176">
        <f t="shared" si="52"/>
        <v>88280.260000000009</v>
      </c>
      <c r="S162" s="176"/>
      <c r="T162" s="176"/>
      <c r="U162" s="188">
        <f>STDEV(D$2:D162)*SQRT(252)</f>
        <v>0.19317071885367709</v>
      </c>
      <c r="V162" s="188">
        <f>STDEV(L$2:L162)*SQRT(252)</f>
        <v>0.40220348115797722</v>
      </c>
      <c r="W162" s="186">
        <f t="shared" si="43"/>
        <v>-0.65389619265055354</v>
      </c>
    </row>
    <row r="163" spans="2:23" ht="20.100000000000001" customHeight="1" x14ac:dyDescent="0.25">
      <c r="B163" s="175">
        <v>42467</v>
      </c>
      <c r="C163" s="219">
        <v>2041.91</v>
      </c>
      <c r="D163" s="174">
        <f t="shared" si="46"/>
        <v>-1.1975845083371128E-2</v>
      </c>
      <c r="E163" s="213">
        <f t="shared" si="48"/>
        <v>-2.8790357869903527E-2</v>
      </c>
      <c r="F163" s="223">
        <v>4848.3599999999997</v>
      </c>
      <c r="G163" s="174">
        <f t="shared" si="44"/>
        <v>-1.4703162754968361E-2</v>
      </c>
      <c r="H163" s="207">
        <f t="shared" si="49"/>
        <v>-4.7791503819942287E-2</v>
      </c>
      <c r="I163" s="225">
        <v>296412.12</v>
      </c>
      <c r="J163" s="176">
        <v>400000</v>
      </c>
      <c r="K163" s="176">
        <f t="shared" si="51"/>
        <v>1611.8499999999767</v>
      </c>
      <c r="L163" s="174">
        <f t="shared" si="45"/>
        <v>5.4676001483986991E-3</v>
      </c>
      <c r="M163" s="186">
        <f t="shared" si="54"/>
        <v>-103587.88</v>
      </c>
      <c r="N163" s="188">
        <f t="shared" si="55"/>
        <v>-0.25896970000000002</v>
      </c>
      <c r="O163" s="186" t="b">
        <f t="shared" si="53"/>
        <v>1</v>
      </c>
      <c r="P163" s="188">
        <f>COUNTIF(O$2:O163, TRUE)/(COUNTIF(O$2:O163,FALSE) + COUNTIF(O$2:O163, TRUE))</f>
        <v>0.47530864197530864</v>
      </c>
      <c r="Q163" s="176">
        <v>210406.8</v>
      </c>
      <c r="R163" s="176">
        <f t="shared" si="52"/>
        <v>86005.32</v>
      </c>
      <c r="S163" s="176"/>
      <c r="T163" s="176"/>
      <c r="U163" s="188">
        <f>STDEV(D$2:D163)*SQRT(252)</f>
        <v>0.19314485515344837</v>
      </c>
      <c r="V163" s="188">
        <f>STDEV(L$2:L163)*SQRT(252)</f>
        <v>0.40102645372059886</v>
      </c>
      <c r="W163" s="186">
        <f t="shared" si="43"/>
        <v>-0.64576712483019405</v>
      </c>
    </row>
    <row r="164" spans="2:23" ht="20.100000000000001" customHeight="1" x14ac:dyDescent="0.25">
      <c r="B164" s="175">
        <v>42468</v>
      </c>
      <c r="C164" s="219">
        <v>2047.6</v>
      </c>
      <c r="D164" s="174">
        <f t="shared" si="46"/>
        <v>2.7866066574921654E-3</v>
      </c>
      <c r="E164" s="213">
        <f t="shared" si="48"/>
        <v>-2.6083978615323217E-2</v>
      </c>
      <c r="F164" s="223">
        <v>4850.6899999999996</v>
      </c>
      <c r="G164" s="174">
        <f t="shared" si="44"/>
        <v>4.8057487480301122E-4</v>
      </c>
      <c r="H164" s="207">
        <f t="shared" si="49"/>
        <v>-4.7333896341104194E-2</v>
      </c>
      <c r="I164" s="225">
        <v>303561.17</v>
      </c>
      <c r="J164" s="176">
        <v>400000</v>
      </c>
      <c r="K164" s="176">
        <f t="shared" si="51"/>
        <v>7149.0499999999884</v>
      </c>
      <c r="L164" s="174">
        <f t="shared" si="45"/>
        <v>2.4118615662544394E-2</v>
      </c>
      <c r="M164" s="186">
        <f t="shared" si="54"/>
        <v>-96438.830000000016</v>
      </c>
      <c r="N164" s="188">
        <f t="shared" si="55"/>
        <v>-0.24109707500000005</v>
      </c>
      <c r="O164" s="186" t="b">
        <f t="shared" si="53"/>
        <v>1</v>
      </c>
      <c r="P164" s="188">
        <f>COUNTIF(O$2:O164, TRUE)/(COUNTIF(O$2:O164,FALSE) + COUNTIF(O$2:O164, TRUE))</f>
        <v>0.4785276073619632</v>
      </c>
      <c r="Q164" s="176">
        <v>199980.39</v>
      </c>
      <c r="R164" s="176">
        <f t="shared" si="52"/>
        <v>103580.77999999997</v>
      </c>
      <c r="S164" s="176"/>
      <c r="T164" s="176"/>
      <c r="U164" s="188">
        <f>STDEV(D$2:D164)*SQRT(252)</f>
        <v>0.19257792977422014</v>
      </c>
      <c r="V164" s="188">
        <f>STDEV(L$2:L164)*SQRT(252)</f>
        <v>0.40100153728117882</v>
      </c>
      <c r="W164" s="186">
        <f t="shared" si="43"/>
        <v>-0.6012372836140647</v>
      </c>
    </row>
    <row r="165" spans="2:23" ht="20.100000000000001" customHeight="1" x14ac:dyDescent="0.25">
      <c r="B165" s="248">
        <v>42471</v>
      </c>
      <c r="C165" s="249">
        <v>2041.99</v>
      </c>
      <c r="D165" s="174">
        <f t="shared" si="46"/>
        <v>-2.7397929283062613E-3</v>
      </c>
      <c r="E165" s="250">
        <f t="shared" si="48"/>
        <v>-2.8752306843477123E-2</v>
      </c>
      <c r="F165" s="251">
        <v>4833.3900000000003</v>
      </c>
      <c r="G165" s="174">
        <f t="shared" si="44"/>
        <v>-3.5665029098951436E-3</v>
      </c>
      <c r="H165" s="252">
        <f t="shared" si="49"/>
        <v>-5.0731582771962117E-2</v>
      </c>
      <c r="I165" s="253">
        <v>301374.21999999997</v>
      </c>
      <c r="J165" s="254">
        <v>400000</v>
      </c>
      <c r="K165" s="254">
        <f t="shared" si="51"/>
        <v>-2186.9500000000116</v>
      </c>
      <c r="L165" s="174">
        <f t="shared" si="45"/>
        <v>-7.2043140431960117E-3</v>
      </c>
      <c r="M165" s="255">
        <f t="shared" si="54"/>
        <v>-98625.780000000028</v>
      </c>
      <c r="N165" s="256">
        <f t="shared" si="55"/>
        <v>-0.24656445000000007</v>
      </c>
      <c r="O165" s="255" t="b">
        <f t="shared" si="53"/>
        <v>0</v>
      </c>
      <c r="P165" s="256">
        <f>COUNTIF(O$2:O165, TRUE)/(COUNTIF(O$2:O165,FALSE) + COUNTIF(O$2:O165, TRUE))</f>
        <v>0.47560975609756095</v>
      </c>
      <c r="Q165" s="254">
        <v>209823.35</v>
      </c>
      <c r="R165" s="254">
        <f t="shared" si="52"/>
        <v>91550.869999999966</v>
      </c>
      <c r="S165" s="254"/>
      <c r="T165" s="254"/>
      <c r="U165" s="256">
        <f>STDEV(D$2:D165)*SQRT(252)</f>
        <v>0.19201090434466217</v>
      </c>
      <c r="V165" s="256">
        <f>STDEV(L$2:L165)*SQRT(252)</f>
        <v>0.39984095752163645</v>
      </c>
      <c r="W165" s="255">
        <f t="shared" si="43"/>
        <v>-0.61665631137014731</v>
      </c>
    </row>
    <row r="166" spans="2:23" ht="20.100000000000001" customHeight="1" x14ac:dyDescent="0.25">
      <c r="B166" s="248">
        <v>42472</v>
      </c>
      <c r="C166" s="249">
        <v>2061.7199999999998</v>
      </c>
      <c r="D166" s="174">
        <f>(C166-C165)/C165</f>
        <v>9.6621433013872691E-3</v>
      </c>
      <c r="E166" s="250">
        <f t="shared" si="48"/>
        <v>-1.9367972451056988E-2</v>
      </c>
      <c r="F166" s="251">
        <v>4872.09</v>
      </c>
      <c r="G166" s="174">
        <f t="shared" ref="G166:G171" si="56">(F166-F165)/F165</f>
        <v>8.0068026788651069E-3</v>
      </c>
      <c r="H166" s="252">
        <f t="shared" si="49"/>
        <v>-4.313097786593862E-2</v>
      </c>
      <c r="I166" s="253">
        <v>314750.48</v>
      </c>
      <c r="J166" s="254">
        <v>400000</v>
      </c>
      <c r="K166" s="254">
        <f t="shared" si="51"/>
        <v>13376.260000000009</v>
      </c>
      <c r="L166" s="174">
        <f t="shared" si="45"/>
        <v>4.438422105248422E-2</v>
      </c>
      <c r="M166" s="255">
        <f t="shared" si="54"/>
        <v>-85249.520000000019</v>
      </c>
      <c r="N166" s="256">
        <f t="shared" si="55"/>
        <v>-0.21312380000000006</v>
      </c>
      <c r="O166" s="255" t="b">
        <f t="shared" si="53"/>
        <v>1</v>
      </c>
      <c r="P166" s="256">
        <f>COUNTIF(O$2:O166, TRUE)/(COUNTIF(O$2:O166,FALSE) + COUNTIF(O$2:O166, TRUE))</f>
        <v>0.47878787878787876</v>
      </c>
      <c r="Q166" s="254">
        <v>212987.96</v>
      </c>
      <c r="R166" s="254">
        <f t="shared" si="52"/>
        <v>101762.51999999999</v>
      </c>
      <c r="S166" s="254"/>
      <c r="T166" s="254"/>
      <c r="U166" s="256">
        <f>STDEV(D$2:D166)*SQRT(252)</f>
        <v>0.19180360559269574</v>
      </c>
      <c r="V166" s="256">
        <f>STDEV(L$2:L166)*SQRT(252)</f>
        <v>0.40253727965834457</v>
      </c>
      <c r="W166" s="255">
        <f t="shared" si="43"/>
        <v>-0.52945108632147042</v>
      </c>
    </row>
    <row r="167" spans="2:23" ht="20.100000000000001" customHeight="1" x14ac:dyDescent="0.25">
      <c r="B167" s="248">
        <v>42473</v>
      </c>
      <c r="C167" s="249">
        <v>2082.42</v>
      </c>
      <c r="D167" s="174">
        <f>(C167-C166)/C166</f>
        <v>1.0040160642570415E-2</v>
      </c>
      <c r="E167" s="250">
        <f t="shared" si="48"/>
        <v>-9.522269363216063E-3</v>
      </c>
      <c r="F167" s="251">
        <v>4947.42</v>
      </c>
      <c r="G167" s="174">
        <f t="shared" si="56"/>
        <v>1.5461537040571896E-2</v>
      </c>
      <c r="H167" s="252">
        <f t="shared" si="49"/>
        <v>-2.8336312037237021E-2</v>
      </c>
      <c r="I167" s="253">
        <v>317683.34999999998</v>
      </c>
      <c r="J167" s="254">
        <v>400000</v>
      </c>
      <c r="K167" s="254">
        <f t="shared" si="51"/>
        <v>2932.8699999999953</v>
      </c>
      <c r="L167" s="174">
        <f t="shared" si="45"/>
        <v>9.3180795149224102E-3</v>
      </c>
      <c r="M167" s="255">
        <f t="shared" si="54"/>
        <v>-82316.650000000023</v>
      </c>
      <c r="N167" s="256">
        <f t="shared" si="55"/>
        <v>-0.20579162500000006</v>
      </c>
      <c r="O167" s="255" t="b">
        <f t="shared" si="53"/>
        <v>0</v>
      </c>
      <c r="P167" s="256">
        <f>COUNTIF(O$2:O167, TRUE)/(COUNTIF(O$2:O167,FALSE) + COUNTIF(O$2:O167, TRUE))</f>
        <v>0.4759036144578313</v>
      </c>
      <c r="Q167" s="254">
        <v>219889.91</v>
      </c>
      <c r="R167" s="254">
        <f t="shared" si="52"/>
        <v>97793.439999999973</v>
      </c>
      <c r="S167" s="254"/>
      <c r="T167" s="254"/>
      <c r="U167" s="256">
        <f>STDEV(D$2:D167)*SQRT(252)</f>
        <v>0.19162382789500107</v>
      </c>
      <c r="V167" s="256">
        <f>STDEV(L$2:L167)*SQRT(252)</f>
        <v>0.40149438106382634</v>
      </c>
      <c r="W167" s="255">
        <f t="shared" si="43"/>
        <v>-0.51256414711140119</v>
      </c>
    </row>
    <row r="168" spans="2:23" ht="20.100000000000001" customHeight="1" x14ac:dyDescent="0.25">
      <c r="B168" s="248">
        <v>42474</v>
      </c>
      <c r="C168" s="249">
        <v>2082.7800000000002</v>
      </c>
      <c r="D168" s="174">
        <f>(C168-C167)/C167</f>
        <v>1.728757887458473E-4</v>
      </c>
      <c r="E168" s="250">
        <f t="shared" si="48"/>
        <v>-9.3510397442970322E-3</v>
      </c>
      <c r="F168" s="251">
        <v>4945.88</v>
      </c>
      <c r="G168" s="174">
        <f t="shared" si="56"/>
        <v>-3.1127335055442304E-4</v>
      </c>
      <c r="H168" s="252">
        <f t="shared" si="49"/>
        <v>-2.8638765049001261E-2</v>
      </c>
      <c r="I168" s="253">
        <v>317242.28999999998</v>
      </c>
      <c r="J168" s="254">
        <v>400000</v>
      </c>
      <c r="K168" s="254">
        <f t="shared" si="51"/>
        <v>-441.05999999999767</v>
      </c>
      <c r="L168" s="174">
        <f t="shared" si="45"/>
        <v>-1.3883636016807229E-3</v>
      </c>
      <c r="M168" s="255">
        <f t="shared" si="54"/>
        <v>-82757.710000000021</v>
      </c>
      <c r="N168" s="256">
        <f t="shared" si="55"/>
        <v>-0.20689427500000004</v>
      </c>
      <c r="O168" s="255" t="b">
        <f t="shared" si="53"/>
        <v>0</v>
      </c>
      <c r="P168" s="256">
        <f>COUNTIF(O$2:O168, TRUE)/(COUNTIF(O$2:O168,FALSE) + COUNTIF(O$2:O168, TRUE))</f>
        <v>0.47305389221556887</v>
      </c>
      <c r="Q168" s="254">
        <v>220158.43</v>
      </c>
      <c r="R168" s="254">
        <f t="shared" si="52"/>
        <v>97083.859999999986</v>
      </c>
      <c r="S168" s="254"/>
      <c r="T168" s="254"/>
      <c r="U168" s="256">
        <f>STDEV(D$2:D168)*SQRT(252)</f>
        <v>0.19104236676485162</v>
      </c>
      <c r="V168" s="256">
        <f>STDEV(L$2:L168)*SQRT(252)</f>
        <v>0.40027732610236538</v>
      </c>
      <c r="W168" s="255">
        <f t="shared" si="43"/>
        <v>-0.51687732856267177</v>
      </c>
    </row>
    <row r="169" spans="2:23" ht="20.100000000000001" customHeight="1" x14ac:dyDescent="0.25">
      <c r="B169" s="248">
        <v>42475</v>
      </c>
      <c r="C169" s="249">
        <v>2080.73</v>
      </c>
      <c r="D169" s="174">
        <f>(C169-C168)/C168</f>
        <v>-9.8426141983319485E-4</v>
      </c>
      <c r="E169" s="250">
        <f t="shared" si="48"/>
        <v>-1.0326097296474589E-2</v>
      </c>
      <c r="F169" s="251">
        <v>4938.21</v>
      </c>
      <c r="G169" s="174">
        <f t="shared" si="56"/>
        <v>-1.5507857044651453E-3</v>
      </c>
      <c r="H169" s="252">
        <f t="shared" si="49"/>
        <v>-3.0145138166034879E-2</v>
      </c>
      <c r="I169" s="253">
        <v>317721.64</v>
      </c>
      <c r="J169" s="254">
        <v>400000</v>
      </c>
      <c r="K169" s="254">
        <f t="shared" si="51"/>
        <v>479.35000000003492</v>
      </c>
      <c r="L169" s="174">
        <f t="shared" si="45"/>
        <v>1.5109902276901196E-3</v>
      </c>
      <c r="M169" s="255">
        <f t="shared" si="54"/>
        <v>-82278.359999999986</v>
      </c>
      <c r="N169" s="256">
        <f t="shared" si="55"/>
        <v>-0.20569589999999996</v>
      </c>
      <c r="O169" s="255" t="b">
        <f t="shared" si="53"/>
        <v>1</v>
      </c>
      <c r="P169" s="256">
        <f>COUNTIF(O$2:O169, TRUE)/(COUNTIF(O$2:O169,FALSE) + COUNTIF(O$2:O169, TRUE))</f>
        <v>0.47619047619047616</v>
      </c>
      <c r="Q169" s="254">
        <v>227146.03</v>
      </c>
      <c r="R169" s="254">
        <f t="shared" si="52"/>
        <v>90575.610000000015</v>
      </c>
      <c r="S169" s="254"/>
      <c r="T169" s="254"/>
      <c r="U169" s="256">
        <f>STDEV(D$2:D169)*SQRT(252)</f>
        <v>0.1904700278981748</v>
      </c>
      <c r="V169" s="256">
        <f>STDEV(L$2:L169)*SQRT(252)</f>
        <v>0.39907765714792898</v>
      </c>
      <c r="W169" s="255">
        <f t="shared" si="43"/>
        <v>-0.51542825391438329</v>
      </c>
    </row>
    <row r="170" spans="2:23" ht="20.100000000000001" customHeight="1" x14ac:dyDescent="0.25">
      <c r="B170" s="175">
        <v>42478</v>
      </c>
      <c r="C170" s="219">
        <v>2094.39</v>
      </c>
      <c r="D170" s="174">
        <f>(C170-C169)/C169</f>
        <v>6.5650036285341464E-3</v>
      </c>
      <c r="E170" s="213">
        <f t="shared" si="48"/>
        <v>-3.8288845341603954E-3</v>
      </c>
      <c r="F170" s="223">
        <v>4960.01</v>
      </c>
      <c r="G170" s="174">
        <f t="shared" si="56"/>
        <v>4.414555071574555E-3</v>
      </c>
      <c r="H170" s="207">
        <f t="shared" si="49"/>
        <v>-2.5863660467034508E-2</v>
      </c>
      <c r="I170" s="225">
        <v>322899.31</v>
      </c>
      <c r="J170" s="176">
        <v>400000</v>
      </c>
      <c r="K170" s="176">
        <f t="shared" si="51"/>
        <v>5177.6699999999837</v>
      </c>
      <c r="L170" s="174">
        <f t="shared" si="45"/>
        <v>1.6296245984377972E-2</v>
      </c>
      <c r="M170" s="186">
        <f t="shared" si="54"/>
        <v>-77100.69</v>
      </c>
      <c r="N170" s="188">
        <f t="shared" si="55"/>
        <v>-0.19275172500000001</v>
      </c>
      <c r="O170" s="186" t="b">
        <f t="shared" si="53"/>
        <v>1</v>
      </c>
      <c r="P170" s="188">
        <f>COUNTIF(O$2:O170, TRUE)/(COUNTIF(O$2:O170,FALSE) + COUNTIF(O$2:O170, TRUE))</f>
        <v>0.47928994082840237</v>
      </c>
      <c r="Q170" s="176">
        <v>221962.67</v>
      </c>
      <c r="R170" s="176">
        <f t="shared" si="52"/>
        <v>100936.63999999998</v>
      </c>
      <c r="S170" s="176"/>
      <c r="T170" s="176"/>
      <c r="U170" s="188">
        <f>STDEV(D$2:D170)*SQRT(252)</f>
        <v>0.19006855377528359</v>
      </c>
      <c r="V170" s="188">
        <f>STDEV(L$2:L170)*SQRT(252)</f>
        <v>0.39841300907192778</v>
      </c>
      <c r="W170" s="186">
        <f t="shared" si="43"/>
        <v>-0.48379877316004366</v>
      </c>
    </row>
    <row r="171" spans="2:23" ht="20.100000000000001" customHeight="1" x14ac:dyDescent="0.25">
      <c r="B171" s="175">
        <v>42479</v>
      </c>
      <c r="C171" s="219">
        <v>2100.8000000000002</v>
      </c>
      <c r="D171" s="174">
        <f t="shared" ref="D171:D190" si="57">(C171-C170)/C170</f>
        <v>3.0605570118269806E-3</v>
      </c>
      <c r="E171" s="213">
        <f t="shared" si="48"/>
        <v>-7.8004604174191543E-4</v>
      </c>
      <c r="F171" s="223">
        <v>4940.33</v>
      </c>
      <c r="G171" s="174">
        <f t="shared" si="56"/>
        <v>-3.9677339360203491E-3</v>
      </c>
      <c r="H171" s="207">
        <f t="shared" si="49"/>
        <v>-2.9728774279710095E-2</v>
      </c>
      <c r="I171" s="225">
        <v>328320.36</v>
      </c>
      <c r="J171" s="176">
        <v>400000</v>
      </c>
      <c r="K171" s="176">
        <f t="shared" si="51"/>
        <v>5421.0499999999884</v>
      </c>
      <c r="L171" s="174">
        <f t="shared" si="45"/>
        <v>1.6788670127539103E-2</v>
      </c>
      <c r="M171" s="186">
        <f t="shared" si="54"/>
        <v>-71679.640000000014</v>
      </c>
      <c r="N171" s="188">
        <f t="shared" si="55"/>
        <v>-0.17919910000000003</v>
      </c>
      <c r="O171" s="186" t="b">
        <f t="shared" si="53"/>
        <v>1</v>
      </c>
      <c r="P171" s="188">
        <f>COUNTIF(O$2:O171, TRUE)/(COUNTIF(O$2:O171,FALSE) + COUNTIF(O$2:O171, TRUE))</f>
        <v>0.4823529411764706</v>
      </c>
      <c r="Q171" s="176">
        <v>219508.9</v>
      </c>
      <c r="R171" s="176">
        <f t="shared" si="52"/>
        <v>108811.45999999999</v>
      </c>
      <c r="S171" s="176"/>
      <c r="T171" s="176"/>
      <c r="U171" s="188">
        <f>STDEV(D$2:D171)*SQRT(252)</f>
        <v>0.18953771970498626</v>
      </c>
      <c r="V171" s="188">
        <f>STDEV(L$2:L171)*SQRT(252)</f>
        <v>0.39778020996769808</v>
      </c>
      <c r="W171" s="186">
        <f t="shared" si="43"/>
        <v>-0.4504977761828623</v>
      </c>
    </row>
    <row r="172" spans="2:23" ht="20.100000000000001" customHeight="1" x14ac:dyDescent="0.25">
      <c r="B172" s="175">
        <v>42480</v>
      </c>
      <c r="C172" s="219">
        <v>2102.4</v>
      </c>
      <c r="D172" s="174">
        <f t="shared" si="57"/>
        <v>7.6161462300071826E-4</v>
      </c>
      <c r="E172" s="213">
        <f t="shared" ref="E172:E191" si="58">(C172-$C$2)/$C$2</f>
        <v>-1.9025513213201623E-5</v>
      </c>
      <c r="F172" s="223">
        <v>4948.13</v>
      </c>
      <c r="G172" s="174">
        <f t="shared" ref="G172:G190" si="59">(F172-F171)/F171</f>
        <v>1.5788418992253922E-3</v>
      </c>
      <c r="H172" s="207">
        <f t="shared" si="49"/>
        <v>-2.8196869414930124E-2</v>
      </c>
      <c r="I172" s="225">
        <v>329335.82</v>
      </c>
      <c r="J172" s="176">
        <v>400000</v>
      </c>
      <c r="K172" s="176">
        <f t="shared" si="51"/>
        <v>1015.460000000021</v>
      </c>
      <c r="L172" s="174">
        <f t="shared" si="45"/>
        <v>3.0928937821584411E-3</v>
      </c>
      <c r="M172" s="186">
        <f t="shared" si="54"/>
        <v>-70664.179999999993</v>
      </c>
      <c r="N172" s="188">
        <f t="shared" si="55"/>
        <v>-0.17666044999999997</v>
      </c>
      <c r="O172" s="186" t="b">
        <f t="shared" si="53"/>
        <v>1</v>
      </c>
      <c r="P172" s="188">
        <f>COUNTIF(O$2:O172, TRUE)/(COUNTIF(O$2:O172,FALSE) + COUNTIF(O$2:O172, TRUE))</f>
        <v>0.4853801169590643</v>
      </c>
      <c r="Q172" s="176">
        <v>225120.43</v>
      </c>
      <c r="R172" s="176">
        <f t="shared" si="52"/>
        <v>104215.39000000001</v>
      </c>
      <c r="S172" s="176"/>
      <c r="T172" s="176"/>
      <c r="U172" s="188">
        <f>STDEV(D$2:D172)*SQRT(252)</f>
        <v>0.18897802119908777</v>
      </c>
      <c r="V172" s="188">
        <f>STDEV(L$2:L172)*SQRT(252)</f>
        <v>0.39662320245584515</v>
      </c>
      <c r="W172" s="186">
        <f t="shared" si="43"/>
        <v>-0.44541128432764099</v>
      </c>
    </row>
    <row r="173" spans="2:23" ht="20.100000000000001" customHeight="1" x14ac:dyDescent="0.25">
      <c r="B173" s="175">
        <v>42481</v>
      </c>
      <c r="C173" s="219">
        <v>2091.48</v>
      </c>
      <c r="D173" s="174">
        <f t="shared" si="57"/>
        <v>-5.194063926940674E-3</v>
      </c>
      <c r="E173" s="213">
        <f t="shared" si="58"/>
        <v>-5.2129906204220026E-3</v>
      </c>
      <c r="F173" s="223">
        <v>4945.88</v>
      </c>
      <c r="G173" s="174">
        <f t="shared" si="59"/>
        <v>-4.547172366126193E-4</v>
      </c>
      <c r="H173" s="207">
        <f t="shared" si="49"/>
        <v>-2.8638765049001261E-2</v>
      </c>
      <c r="I173" s="225">
        <v>327169.02</v>
      </c>
      <c r="J173" s="176">
        <v>400000</v>
      </c>
      <c r="K173" s="176">
        <f t="shared" si="51"/>
        <v>-2166.7999999999884</v>
      </c>
      <c r="L173" s="174">
        <f t="shared" si="45"/>
        <v>-6.5793025489908393E-3</v>
      </c>
      <c r="M173" s="186">
        <f t="shared" si="54"/>
        <v>-72830.979999999981</v>
      </c>
      <c r="N173" s="188">
        <f t="shared" si="55"/>
        <v>-0.18207744999999995</v>
      </c>
      <c r="O173" s="186" t="b">
        <f t="shared" si="53"/>
        <v>0</v>
      </c>
      <c r="P173" s="188">
        <f>COUNTIF(O$2:O173, TRUE)/(COUNTIF(O$2:O173,FALSE) + COUNTIF(O$2:O173, TRUE))</f>
        <v>0.48255813953488375</v>
      </c>
      <c r="Q173" s="176">
        <v>222953.63</v>
      </c>
      <c r="R173" s="176">
        <f t="shared" si="52"/>
        <v>104215.39000000001</v>
      </c>
      <c r="S173" s="176"/>
      <c r="T173" s="176"/>
      <c r="U173" s="188">
        <f>STDEV(D$2:D173)*SQRT(252)</f>
        <v>0.18852973440522966</v>
      </c>
      <c r="V173" s="188">
        <f>STDEV(L$2:L173)*SQRT(252)</f>
        <v>0.39552870627175002</v>
      </c>
      <c r="W173" s="186">
        <f t="shared" si="43"/>
        <v>-0.46033940675573293</v>
      </c>
    </row>
    <row r="174" spans="2:23" ht="20.100000000000001" customHeight="1" x14ac:dyDescent="0.25">
      <c r="B174" s="175">
        <v>42482</v>
      </c>
      <c r="C174" s="219">
        <v>2091.58</v>
      </c>
      <c r="D174" s="174">
        <f t="shared" si="57"/>
        <v>4.7813031919936622E-5</v>
      </c>
      <c r="E174" s="213">
        <f t="shared" si="58"/>
        <v>-5.1654268373889992E-3</v>
      </c>
      <c r="F174" s="223">
        <v>4906.28</v>
      </c>
      <c r="G174" s="174">
        <f t="shared" si="59"/>
        <v>-8.006664132571022E-3</v>
      </c>
      <c r="H174" s="207">
        <f t="shared" ref="H174:H191" si="60">(F174-F$2)/F$2</f>
        <v>-3.6416128208653316E-2</v>
      </c>
      <c r="I174" s="225">
        <v>331471.71000000002</v>
      </c>
      <c r="J174" s="176">
        <v>400000</v>
      </c>
      <c r="K174" s="176">
        <f t="shared" si="51"/>
        <v>4302.6900000000023</v>
      </c>
      <c r="L174" s="174">
        <f t="shared" si="45"/>
        <v>1.3151275753431673E-2</v>
      </c>
      <c r="M174" s="186">
        <f t="shared" si="54"/>
        <v>-68528.289999999979</v>
      </c>
      <c r="N174" s="188">
        <f t="shared" si="55"/>
        <v>-0.17132072499999995</v>
      </c>
      <c r="O174" s="186" t="b">
        <f t="shared" si="53"/>
        <v>1</v>
      </c>
      <c r="P174" s="188">
        <f>COUNTIF(O$2:O174, TRUE)/(COUNTIF(O$2:O174,FALSE) + COUNTIF(O$2:O174, TRUE))</f>
        <v>0.48554913294797686</v>
      </c>
      <c r="Q174" s="176">
        <v>230600.27</v>
      </c>
      <c r="R174" s="176">
        <f t="shared" si="52"/>
        <v>100871.44000000003</v>
      </c>
      <c r="S174" s="176"/>
      <c r="T174" s="176"/>
      <c r="U174" s="188">
        <f>STDEV(D$2:D174)*SQRT(252)</f>
        <v>0.18797766983654679</v>
      </c>
      <c r="V174" s="188">
        <f>STDEV(L$2:L174)*SQRT(252)</f>
        <v>0.39470764282961784</v>
      </c>
      <c r="W174" s="186">
        <f t="shared" si="43"/>
        <v>-0.43404461026348407</v>
      </c>
    </row>
    <row r="175" spans="2:23" ht="20.100000000000001" customHeight="1" x14ac:dyDescent="0.25">
      <c r="B175" s="248">
        <v>42485</v>
      </c>
      <c r="C175" s="249">
        <v>2087.79</v>
      </c>
      <c r="D175" s="174">
        <f t="shared" si="57"/>
        <v>-1.8120272712494688E-3</v>
      </c>
      <c r="E175" s="250">
        <f t="shared" si="58"/>
        <v>-6.9680942143414753E-3</v>
      </c>
      <c r="F175" s="251">
        <v>4895.78</v>
      </c>
      <c r="G175" s="174">
        <f t="shared" si="59"/>
        <v>-2.140114302485794E-3</v>
      </c>
      <c r="H175" s="252">
        <f t="shared" si="60"/>
        <v>-3.8478307834318611E-2</v>
      </c>
      <c r="I175" s="253">
        <v>325541.03000000003</v>
      </c>
      <c r="J175" s="254">
        <v>400000</v>
      </c>
      <c r="K175" s="254">
        <f t="shared" si="51"/>
        <v>-5930.679999999993</v>
      </c>
      <c r="L175" s="174">
        <f t="shared" si="45"/>
        <v>-1.7891964294630129E-2</v>
      </c>
      <c r="M175" s="255">
        <f t="shared" si="54"/>
        <v>-74458.969999999972</v>
      </c>
      <c r="N175" s="256">
        <f t="shared" si="55"/>
        <v>-0.18614742499999992</v>
      </c>
      <c r="O175" s="255" t="b">
        <f t="shared" si="53"/>
        <v>0</v>
      </c>
      <c r="P175" s="256">
        <f>COUNTIF(O$2:O175, TRUE)/(COUNTIF(O$2:O175,FALSE) + COUNTIF(O$2:O175, TRUE))</f>
        <v>0.48275862068965519</v>
      </c>
      <c r="Q175" s="254">
        <v>238708.14</v>
      </c>
      <c r="R175" s="254">
        <f t="shared" si="52"/>
        <v>86832.890000000014</v>
      </c>
      <c r="S175" s="254"/>
      <c r="T175" s="254"/>
      <c r="U175" s="256">
        <f>STDEV(D$2:D175)*SQRT(252)</f>
        <v>0.18744374998531149</v>
      </c>
      <c r="V175" s="256">
        <f>STDEV(L$2:L175)*SQRT(252)</f>
        <v>0.39413441432117591</v>
      </c>
      <c r="W175" s="255">
        <f t="shared" si="43"/>
        <v>-0.47229426874738822</v>
      </c>
    </row>
    <row r="176" spans="2:23" ht="20.100000000000001" customHeight="1" x14ac:dyDescent="0.25">
      <c r="B176" s="248">
        <v>42486</v>
      </c>
      <c r="C176" s="338">
        <v>2091.6999999999998</v>
      </c>
      <c r="D176" s="174">
        <f t="shared" si="57"/>
        <v>1.8727937196748019E-3</v>
      </c>
      <c r="E176" s="250">
        <f t="shared" si="58"/>
        <v>-5.1083502977493939E-3</v>
      </c>
      <c r="F176" s="251">
        <v>4888.28</v>
      </c>
      <c r="G176" s="174">
        <f t="shared" si="59"/>
        <v>-1.5319315818929772E-3</v>
      </c>
      <c r="H176" s="252">
        <f t="shared" si="60"/>
        <v>-3.9951293281222398E-2</v>
      </c>
      <c r="I176" s="253">
        <v>336797.26</v>
      </c>
      <c r="J176" s="254">
        <v>400000</v>
      </c>
      <c r="K176" s="254">
        <f t="shared" si="51"/>
        <v>11256.229999999981</v>
      </c>
      <c r="L176" s="174">
        <f t="shared" si="45"/>
        <v>3.4576993259497826E-2</v>
      </c>
      <c r="M176" s="255">
        <f t="shared" si="54"/>
        <v>-63202.739999999991</v>
      </c>
      <c r="N176" s="256">
        <f t="shared" si="55"/>
        <v>-0.15800684999999998</v>
      </c>
      <c r="O176" s="255" t="b">
        <f t="shared" si="53"/>
        <v>1</v>
      </c>
      <c r="P176" s="256">
        <f>COUNTIF(O$2:O176, TRUE)/(COUNTIF(O$2:O176,FALSE) + COUNTIF(O$2:O176, TRUE))</f>
        <v>0.48571428571428571</v>
      </c>
      <c r="Q176" s="254">
        <v>231627.32</v>
      </c>
      <c r="R176" s="254">
        <f t="shared" si="52"/>
        <v>105169.94</v>
      </c>
      <c r="S176" s="254"/>
      <c r="T176" s="254"/>
      <c r="U176" s="256">
        <f>STDEV(D$2:D176)*SQRT(252)</f>
        <v>0.18691439115354258</v>
      </c>
      <c r="V176" s="256">
        <f>STDEV(L$2:L176)*SQRT(252)</f>
        <v>0.39523474671048564</v>
      </c>
      <c r="W176" s="255">
        <f t="shared" si="43"/>
        <v>-0.39977975447523584</v>
      </c>
    </row>
    <row r="177" spans="2:23" ht="20.100000000000001" customHeight="1" x14ac:dyDescent="0.25">
      <c r="B177" s="248">
        <v>42487</v>
      </c>
      <c r="C177" s="338">
        <v>2095.15</v>
      </c>
      <c r="D177" s="174">
        <f t="shared" si="57"/>
        <v>1.6493761055602013E-3</v>
      </c>
      <c r="E177" s="250">
        <f t="shared" si="58"/>
        <v>-3.4673997831091321E-3</v>
      </c>
      <c r="F177" s="251">
        <v>4863.1400000000003</v>
      </c>
      <c r="G177" s="174">
        <f t="shared" si="59"/>
        <v>-5.1429132537414834E-3</v>
      </c>
      <c r="H177" s="252">
        <f t="shared" si="60"/>
        <v>-4.4888740499243768E-2</v>
      </c>
      <c r="I177" s="253">
        <v>341540.33</v>
      </c>
      <c r="J177" s="254">
        <v>400000</v>
      </c>
      <c r="K177" s="254">
        <f t="shared" si="51"/>
        <v>4743.070000000007</v>
      </c>
      <c r="L177" s="174">
        <f t="shared" si="45"/>
        <v>1.4082863975793648E-2</v>
      </c>
      <c r="M177" s="255">
        <f t="shared" si="54"/>
        <v>-58459.669999999984</v>
      </c>
      <c r="N177" s="256">
        <f t="shared" si="55"/>
        <v>-0.14614917499999996</v>
      </c>
      <c r="O177" s="255" t="b">
        <f t="shared" si="53"/>
        <v>1</v>
      </c>
      <c r="P177" s="256">
        <f>COUNTIF(O$2:O177, TRUE)/(COUNTIF(O$2:O177,FALSE) + COUNTIF(O$2:O177, TRUE))</f>
        <v>0.48863636363636365</v>
      </c>
      <c r="Q177" s="254">
        <v>245489.82</v>
      </c>
      <c r="R177" s="254">
        <f t="shared" si="52"/>
        <v>96050.510000000009</v>
      </c>
      <c r="S177" s="254"/>
      <c r="T177" s="254"/>
      <c r="U177" s="256">
        <f>STDEV(D$2:D177)*SQRT(252)</f>
        <v>0.18638651777551687</v>
      </c>
      <c r="V177" s="256">
        <f>STDEV(L$2:L177)*SQRT(252)</f>
        <v>0.39446713655061666</v>
      </c>
      <c r="W177" s="255">
        <f t="shared" si="43"/>
        <v>-0.37049772074294612</v>
      </c>
    </row>
    <row r="178" spans="2:23" ht="20.100000000000001" customHeight="1" x14ac:dyDescent="0.25">
      <c r="B178" s="248">
        <v>42488</v>
      </c>
      <c r="C178" s="338">
        <v>2075.81</v>
      </c>
      <c r="D178" s="174">
        <f t="shared" si="57"/>
        <v>-9.2308426604301094E-3</v>
      </c>
      <c r="E178" s="250">
        <f t="shared" si="58"/>
        <v>-1.2666235421700553E-2</v>
      </c>
      <c r="F178" s="251">
        <v>4805.29</v>
      </c>
      <c r="G178" s="174">
        <f t="shared" si="59"/>
        <v>-1.1895606542275229E-2</v>
      </c>
      <c r="H178" s="252">
        <f t="shared" si="60"/>
        <v>-5.6250368246361697E-2</v>
      </c>
      <c r="I178" s="253">
        <v>336936.02</v>
      </c>
      <c r="J178" s="254">
        <v>400000</v>
      </c>
      <c r="K178" s="254">
        <f t="shared" si="51"/>
        <v>-4604.3099999999977</v>
      </c>
      <c r="L178" s="174">
        <f t="shared" si="45"/>
        <v>-1.3481014086974729E-2</v>
      </c>
      <c r="M178" s="255">
        <f t="shared" si="54"/>
        <v>-63063.979999999981</v>
      </c>
      <c r="N178" s="256">
        <f t="shared" si="55"/>
        <v>-0.15765994999999997</v>
      </c>
      <c r="O178" s="255" t="b">
        <f t="shared" si="53"/>
        <v>0</v>
      </c>
      <c r="P178" s="256">
        <f>COUNTIF(O$2:O178, TRUE)/(COUNTIF(O$2:O178,FALSE) + COUNTIF(O$2:O178, TRUE))</f>
        <v>0.48587570621468928</v>
      </c>
      <c r="Q178" s="254">
        <v>254190.85</v>
      </c>
      <c r="R178" s="254">
        <f t="shared" si="52"/>
        <v>82745.170000000013</v>
      </c>
      <c r="S178" s="254"/>
      <c r="T178" s="254"/>
      <c r="U178" s="256">
        <f>STDEV(D$2:D178)*SQRT(252)</f>
        <v>0.18618462851964468</v>
      </c>
      <c r="V178" s="256">
        <f>STDEV(L$2:L178)*SQRT(252)</f>
        <v>0.39366590594633838</v>
      </c>
      <c r="W178" s="255">
        <f t="shared" si="43"/>
        <v>-0.40049175612757026</v>
      </c>
    </row>
    <row r="179" spans="2:23" ht="20.100000000000001" customHeight="1" x14ac:dyDescent="0.25">
      <c r="B179" s="248">
        <v>42489</v>
      </c>
      <c r="C179" s="338">
        <v>2065.3000000000002</v>
      </c>
      <c r="D179" s="174">
        <f t="shared" si="57"/>
        <v>-5.0630838082482326E-3</v>
      </c>
      <c r="E179" s="250">
        <f t="shared" si="58"/>
        <v>-1.7665189018473713E-2</v>
      </c>
      <c r="F179" s="251">
        <v>4775.3599999999997</v>
      </c>
      <c r="G179" s="174">
        <f t="shared" si="59"/>
        <v>-6.2285522830048323E-3</v>
      </c>
      <c r="H179" s="252">
        <f t="shared" si="60"/>
        <v>-6.2128562169805793E-2</v>
      </c>
      <c r="I179" s="484">
        <v>329545.53999999998</v>
      </c>
      <c r="J179" s="254">
        <v>400000</v>
      </c>
      <c r="K179" s="254">
        <f t="shared" si="51"/>
        <v>-7390.4800000000396</v>
      </c>
      <c r="L179" s="174">
        <f t="shared" si="45"/>
        <v>-2.1934371991454163E-2</v>
      </c>
      <c r="M179" s="255">
        <f t="shared" si="54"/>
        <v>-70454.460000000021</v>
      </c>
      <c r="N179" s="256">
        <f t="shared" si="55"/>
        <v>-0.17613615000000005</v>
      </c>
      <c r="O179" s="255" t="b">
        <f t="shared" si="53"/>
        <v>0</v>
      </c>
      <c r="P179" s="256">
        <f>COUNTIF(O$2:O179, TRUE)/(COUNTIF(O$2:O179,FALSE) + COUNTIF(O$2:O179, TRUE))</f>
        <v>0.48314606741573035</v>
      </c>
      <c r="Q179" s="254">
        <v>264639.32</v>
      </c>
      <c r="R179" s="254">
        <f t="shared" si="52"/>
        <v>64906.219999999972</v>
      </c>
      <c r="S179" s="254"/>
      <c r="T179" s="254"/>
      <c r="U179" s="256">
        <f>STDEV(D$2:D179)*SQRT(252)</f>
        <v>0.18575305494733241</v>
      </c>
      <c r="V179" s="256">
        <f>STDEV(L$2:L179)*SQRT(252)</f>
        <v>0.39340624271023572</v>
      </c>
      <c r="W179" s="255">
        <f t="shared" si="43"/>
        <v>-0.44772078039883456</v>
      </c>
    </row>
    <row r="180" spans="2:23" ht="20.100000000000001" customHeight="1" x14ac:dyDescent="0.25">
      <c r="B180" s="175">
        <v>42492</v>
      </c>
      <c r="C180" s="219">
        <v>2081.4299999999998</v>
      </c>
      <c r="D180" s="174">
        <f t="shared" si="57"/>
        <v>7.8100033893379424E-3</v>
      </c>
      <c r="E180" s="213">
        <f t="shared" si="58"/>
        <v>-9.9931508152433443E-3</v>
      </c>
      <c r="F180" s="223">
        <v>4817.59</v>
      </c>
      <c r="G180" s="174">
        <f t="shared" si="59"/>
        <v>8.8433123366616281E-3</v>
      </c>
      <c r="H180" s="207">
        <f t="shared" si="60"/>
        <v>-5.3834672113439459E-2</v>
      </c>
      <c r="I180" s="225">
        <v>323730.93</v>
      </c>
      <c r="J180" s="176">
        <v>400000</v>
      </c>
      <c r="K180" s="176">
        <f t="shared" si="51"/>
        <v>-5814.609999999986</v>
      </c>
      <c r="L180" s="174">
        <f t="shared" si="45"/>
        <v>-1.7644329217746314E-2</v>
      </c>
      <c r="M180" s="186">
        <f t="shared" si="54"/>
        <v>-76269.070000000007</v>
      </c>
      <c r="N180" s="188">
        <f t="shared" si="55"/>
        <v>-0.19067267500000001</v>
      </c>
      <c r="O180" s="186" t="b">
        <f t="shared" si="53"/>
        <v>0</v>
      </c>
      <c r="P180" s="188">
        <f>COUNTIF(O$2:O180, TRUE)/(COUNTIF(O$2:O180,FALSE) + COUNTIF(O$2:O180, TRUE))</f>
        <v>0.48044692737430167</v>
      </c>
      <c r="Q180" s="176">
        <v>258410.3</v>
      </c>
      <c r="R180" s="176">
        <f t="shared" si="52"/>
        <v>65320.630000000005</v>
      </c>
      <c r="S180" s="176"/>
      <c r="T180" s="176"/>
      <c r="U180" s="188">
        <f>STDEV(D$2:D180)*SQRT(252)</f>
        <v>0.18546248521467029</v>
      </c>
      <c r="V180" s="188">
        <f>STDEV(L$2:L180)*SQRT(252)</f>
        <v>0.39283799176483652</v>
      </c>
      <c r="W180" s="186">
        <f t="shared" si="43"/>
        <v>-0.48537228831508195</v>
      </c>
    </row>
    <row r="181" spans="2:23" ht="20.100000000000001" customHeight="1" x14ac:dyDescent="0.25">
      <c r="B181" s="175">
        <v>42493</v>
      </c>
      <c r="C181" s="219">
        <v>2063.37</v>
      </c>
      <c r="D181" s="174">
        <f t="shared" si="57"/>
        <v>-8.6767270578400179E-3</v>
      </c>
      <c r="E181" s="213">
        <f t="shared" si="58"/>
        <v>-1.8583170031011665E-2</v>
      </c>
      <c r="F181" s="223">
        <v>4763.22</v>
      </c>
      <c r="G181" s="174">
        <f t="shared" si="59"/>
        <v>-1.1285725850477083E-2</v>
      </c>
      <c r="H181" s="207">
        <f t="shared" si="60"/>
        <v>-6.4512834613193945E-2</v>
      </c>
      <c r="I181" s="225">
        <v>314233.52</v>
      </c>
      <c r="J181" s="176">
        <v>400000</v>
      </c>
      <c r="K181" s="176">
        <f t="shared" si="51"/>
        <v>-9497.4099999999744</v>
      </c>
      <c r="L181" s="174">
        <f t="shared" si="45"/>
        <v>-2.9337357415925549E-2</v>
      </c>
      <c r="M181" s="186">
        <f t="shared" si="54"/>
        <v>-85766.479999999981</v>
      </c>
      <c r="N181" s="188">
        <f t="shared" si="55"/>
        <v>-0.21441619999999995</v>
      </c>
      <c r="O181" s="186" t="b">
        <f t="shared" si="53"/>
        <v>0</v>
      </c>
      <c r="P181" s="188">
        <f>COUNTIF(O$2:O181, TRUE)/(COUNTIF(O$2:O181,FALSE) + COUNTIF(O$2:O181, TRUE))</f>
        <v>0.4777777777777778</v>
      </c>
      <c r="Q181" s="176">
        <v>250705.72</v>
      </c>
      <c r="R181" s="176">
        <f t="shared" si="52"/>
        <v>63527.800000000017</v>
      </c>
      <c r="S181" s="176"/>
      <c r="T181" s="176"/>
      <c r="U181" s="188">
        <f>STDEV(D$2:D181)*SQRT(252)</f>
        <v>0.18522787612316166</v>
      </c>
      <c r="V181" s="188">
        <f>STDEV(L$2:L181)*SQRT(252)</f>
        <v>0.3932386492905699</v>
      </c>
      <c r="W181" s="186">
        <f t="shared" si="43"/>
        <v>-0.5452571876818868</v>
      </c>
    </row>
    <row r="182" spans="2:23" ht="20.100000000000001" customHeight="1" x14ac:dyDescent="0.25">
      <c r="B182" s="175">
        <v>42494</v>
      </c>
      <c r="C182" s="219">
        <v>2051.12</v>
      </c>
      <c r="D182" s="174">
        <f t="shared" si="57"/>
        <v>-5.9368896513955329E-3</v>
      </c>
      <c r="E182" s="213">
        <f t="shared" si="58"/>
        <v>-2.4409733452559961E-2</v>
      </c>
      <c r="F182" s="223">
        <v>4725.6400000000003</v>
      </c>
      <c r="G182" s="174">
        <f t="shared" si="59"/>
        <v>-7.8896208867110743E-3</v>
      </c>
      <c r="H182" s="207">
        <f t="shared" si="60"/>
        <v>-7.1893473692479823E-2</v>
      </c>
      <c r="I182" s="225">
        <v>304379.90999999997</v>
      </c>
      <c r="J182" s="176">
        <v>400000</v>
      </c>
      <c r="K182" s="176">
        <f t="shared" si="51"/>
        <v>-9853.6100000000442</v>
      </c>
      <c r="L182" s="174">
        <f t="shared" si="45"/>
        <v>-3.135760309721268E-2</v>
      </c>
      <c r="M182" s="186">
        <f t="shared" si="54"/>
        <v>-95620.090000000026</v>
      </c>
      <c r="N182" s="188">
        <f t="shared" si="55"/>
        <v>-0.23905022500000006</v>
      </c>
      <c r="O182" s="186" t="b">
        <f t="shared" si="53"/>
        <v>0</v>
      </c>
      <c r="P182" s="188">
        <f>COUNTIF(O$2:O182, TRUE)/(COUNTIF(O$2:O182,FALSE) + COUNTIF(O$2:O182, TRUE))</f>
        <v>0.47513812154696133</v>
      </c>
      <c r="Q182" s="176">
        <v>275717.40999999997</v>
      </c>
      <c r="R182" s="176">
        <f t="shared" si="52"/>
        <v>28662.5</v>
      </c>
      <c r="S182" s="176"/>
      <c r="T182" s="176"/>
      <c r="U182" s="188">
        <f>STDEV(D$2:D182)*SQRT(252)</f>
        <v>0.18484162325464118</v>
      </c>
      <c r="V182" s="188">
        <f>STDEV(L$2:L182)*SQRT(252)</f>
        <v>0.39383207665570702</v>
      </c>
      <c r="W182" s="186">
        <f t="shared" si="43"/>
        <v>-0.60698515730342806</v>
      </c>
    </row>
    <row r="183" spans="2:23" ht="20.100000000000001" customHeight="1" x14ac:dyDescent="0.25">
      <c r="B183" s="175">
        <v>42495</v>
      </c>
      <c r="C183" s="219">
        <v>2050.63</v>
      </c>
      <c r="D183" s="174">
        <f t="shared" si="57"/>
        <v>-2.3889387261583024E-4</v>
      </c>
      <c r="E183" s="213">
        <f t="shared" si="58"/>
        <v>-2.464279598942179E-2</v>
      </c>
      <c r="F183" s="223">
        <v>4717.09</v>
      </c>
      <c r="G183" s="174">
        <f t="shared" si="59"/>
        <v>-1.8092787431967271E-3</v>
      </c>
      <c r="H183" s="207">
        <f t="shared" si="60"/>
        <v>-7.3572677101950174E-2</v>
      </c>
      <c r="I183" s="225">
        <v>304854.58</v>
      </c>
      <c r="J183" s="176">
        <v>400000</v>
      </c>
      <c r="K183" s="176">
        <f t="shared" si="51"/>
        <v>474.67000000004191</v>
      </c>
      <c r="L183" s="174">
        <f t="shared" si="45"/>
        <v>1.5594656033640392E-3</v>
      </c>
      <c r="M183" s="186">
        <f t="shared" si="54"/>
        <v>-95145.419999999984</v>
      </c>
      <c r="N183" s="188">
        <f t="shared" si="55"/>
        <v>-0.23786354999999995</v>
      </c>
      <c r="O183" s="186" t="b">
        <f t="shared" si="53"/>
        <v>1</v>
      </c>
      <c r="P183" s="188">
        <f>COUNTIF(O$2:O183, TRUE)/(COUNTIF(O$2:O183,FALSE) + COUNTIF(O$2:O183, TRUE))</f>
        <v>0.47802197802197804</v>
      </c>
      <c r="Q183" s="176">
        <v>244688.61</v>
      </c>
      <c r="R183" s="176">
        <f t="shared" si="52"/>
        <v>60165.97000000003</v>
      </c>
      <c r="S183" s="176"/>
      <c r="T183" s="176"/>
      <c r="U183" s="188">
        <f>STDEV(D$2:D183)*SQRT(252)</f>
        <v>0.18432756719124724</v>
      </c>
      <c r="V183" s="188">
        <f>STDEV(L$2:L183)*SQRT(252)</f>
        <v>0.39274558948509919</v>
      </c>
      <c r="W183" s="186">
        <f t="shared" si="43"/>
        <v>-0.60564282927236923</v>
      </c>
    </row>
    <row r="184" spans="2:23" ht="20.100000000000001" customHeight="1" x14ac:dyDescent="0.25">
      <c r="B184" s="175">
        <v>42496</v>
      </c>
      <c r="C184" s="219">
        <v>2057.14</v>
      </c>
      <c r="D184" s="174">
        <f t="shared" si="57"/>
        <v>3.1746341368261281E-3</v>
      </c>
      <c r="E184" s="213">
        <f t="shared" si="58"/>
        <v>-2.1546393713970519E-2</v>
      </c>
      <c r="F184" s="223">
        <v>4736.1499999999996</v>
      </c>
      <c r="G184" s="174">
        <f t="shared" si="59"/>
        <v>4.0406267423346784E-3</v>
      </c>
      <c r="H184" s="207">
        <f t="shared" si="60"/>
        <v>-6.9829330086218791E-2</v>
      </c>
      <c r="I184" s="225">
        <v>304553.01</v>
      </c>
      <c r="J184" s="176">
        <v>400000</v>
      </c>
      <c r="K184" s="176">
        <f t="shared" ref="K184:K191" si="61">I184-I183-J184+J183</f>
        <v>-301.57000000000698</v>
      </c>
      <c r="L184" s="174">
        <f t="shared" si="45"/>
        <v>-9.8922574822397935E-4</v>
      </c>
      <c r="M184" s="186">
        <f t="shared" si="54"/>
        <v>-95446.989999999991</v>
      </c>
      <c r="N184" s="188">
        <f t="shared" si="55"/>
        <v>-0.23861747499999997</v>
      </c>
      <c r="O184" s="186" t="b">
        <f t="shared" si="53"/>
        <v>0</v>
      </c>
      <c r="P184" s="188">
        <f>COUNTIF(O$2:O184, TRUE)/(COUNTIF(O$2:O184,FALSE) + COUNTIF(O$2:O184, TRUE))</f>
        <v>0.47540983606557374</v>
      </c>
      <c r="Q184" s="176">
        <v>244387.04</v>
      </c>
      <c r="R184" s="176">
        <f t="shared" si="52"/>
        <v>60165.97</v>
      </c>
      <c r="S184" s="176"/>
      <c r="T184" s="176"/>
      <c r="U184" s="188">
        <f>STDEV(D$2:D184)*SQRT(252)</f>
        <v>0.18385733310568392</v>
      </c>
      <c r="V184" s="188">
        <f>STDEV(L$2:L184)*SQRT(252)</f>
        <v>0.39165931974206192</v>
      </c>
      <c r="W184" s="186">
        <f t="shared" si="43"/>
        <v>-0.60924753471243354</v>
      </c>
    </row>
    <row r="185" spans="2:23" ht="20.100000000000001" customHeight="1" x14ac:dyDescent="0.25">
      <c r="B185" s="248">
        <v>42499</v>
      </c>
      <c r="C185" s="249">
        <v>2058.69</v>
      </c>
      <c r="D185" s="174">
        <f t="shared" si="57"/>
        <v>7.5347326871296166E-4</v>
      </c>
      <c r="E185" s="250">
        <f t="shared" si="58"/>
        <v>-2.08091550769582E-2</v>
      </c>
      <c r="F185" s="251">
        <v>4750.2</v>
      </c>
      <c r="G185" s="174">
        <f t="shared" si="59"/>
        <v>2.9665445562324214E-3</v>
      </c>
      <c r="H185" s="252">
        <f t="shared" si="60"/>
        <v>-6.706993734901899E-2</v>
      </c>
      <c r="I185" s="253">
        <v>298140.64</v>
      </c>
      <c r="J185" s="254">
        <v>400000</v>
      </c>
      <c r="K185" s="254">
        <f t="shared" si="61"/>
        <v>-6412.3699999999953</v>
      </c>
      <c r="L185" s="174">
        <f t="shared" si="45"/>
        <v>-2.1055020930510572E-2</v>
      </c>
      <c r="M185" s="255">
        <f t="shared" si="54"/>
        <v>-101859.35999999999</v>
      </c>
      <c r="N185" s="256">
        <f t="shared" si="55"/>
        <v>-0.25464839999999994</v>
      </c>
      <c r="O185" s="255" t="b">
        <f t="shared" si="53"/>
        <v>0</v>
      </c>
      <c r="P185" s="256">
        <f>COUNTIF(O$2:O185, TRUE)/(COUNTIF(O$2:O185,FALSE) + COUNTIF(O$2:O185, TRUE))</f>
        <v>0.47282608695652173</v>
      </c>
      <c r="Q185" s="254">
        <v>244388.04</v>
      </c>
      <c r="R185" s="254">
        <f t="shared" si="52"/>
        <v>53752.600000000006</v>
      </c>
      <c r="S185" s="254"/>
      <c r="T185" s="254"/>
      <c r="U185" s="256">
        <f>STDEV(D$2:D185)*SQRT(252)</f>
        <v>0.18335397650588192</v>
      </c>
      <c r="V185" s="256">
        <f>STDEV(L$2:L185)*SQRT(252)</f>
        <v>0.39131263252933984</v>
      </c>
      <c r="W185" s="255">
        <f t="shared" si="43"/>
        <v>-0.65075435554947725</v>
      </c>
    </row>
    <row r="186" spans="2:23" ht="20.100000000000001" customHeight="1" x14ac:dyDescent="0.25">
      <c r="B186" s="248">
        <v>42500</v>
      </c>
      <c r="C186" s="249">
        <v>2084.39</v>
      </c>
      <c r="D186" s="174">
        <f t="shared" si="57"/>
        <v>1.2483666797817941E-2</v>
      </c>
      <c r="E186" s="250">
        <f t="shared" si="58"/>
        <v>-8.5852628374651265E-3</v>
      </c>
      <c r="F186" s="251">
        <v>4809.88</v>
      </c>
      <c r="G186" s="174">
        <f t="shared" si="59"/>
        <v>1.2563681529198832E-2</v>
      </c>
      <c r="H186" s="252">
        <f t="shared" si="60"/>
        <v>-5.5348901152856553E-2</v>
      </c>
      <c r="I186" s="253">
        <v>304800.26</v>
      </c>
      <c r="J186" s="254">
        <v>400000</v>
      </c>
      <c r="K186" s="254">
        <f t="shared" si="61"/>
        <v>6659.6199999999953</v>
      </c>
      <c r="L186" s="174">
        <f t="shared" si="45"/>
        <v>2.2337176172963186E-2</v>
      </c>
      <c r="M186" s="255">
        <f t="shared" si="54"/>
        <v>-95199.739999999991</v>
      </c>
      <c r="N186" s="256">
        <f t="shared" si="55"/>
        <v>-0.23799934999999997</v>
      </c>
      <c r="O186" s="255" t="b">
        <f t="shared" si="53"/>
        <v>1</v>
      </c>
      <c r="P186" s="256">
        <f>COUNTIF(O$2:O186, TRUE)/(COUNTIF(O$2:O186,FALSE) + COUNTIF(O$2:O186, TRUE))</f>
        <v>0.4756756756756757</v>
      </c>
      <c r="Q186" s="254">
        <v>245950.62</v>
      </c>
      <c r="R186" s="254">
        <f t="shared" si="52"/>
        <v>58849.640000000014</v>
      </c>
      <c r="S186" s="254"/>
      <c r="T186" s="254"/>
      <c r="U186" s="256">
        <f>STDEV(D$2:D186)*SQRT(252)</f>
        <v>0.1834395508093867</v>
      </c>
      <c r="V186" s="256">
        <f>STDEV(L$2:L186)*SQRT(252)</f>
        <v>0.39117995017069312</v>
      </c>
      <c r="W186" s="255">
        <f t="shared" si="43"/>
        <v>-0.6084139790297225</v>
      </c>
    </row>
    <row r="187" spans="2:23" ht="20.100000000000001" customHeight="1" x14ac:dyDescent="0.25">
      <c r="B187" s="248">
        <v>42501</v>
      </c>
      <c r="C187" s="249">
        <v>2064.46</v>
      </c>
      <c r="D187" s="174">
        <f t="shared" si="57"/>
        <v>-9.5615503816463502E-3</v>
      </c>
      <c r="E187" s="250">
        <f t="shared" si="58"/>
        <v>-1.8064724795951378E-2</v>
      </c>
      <c r="F187" s="251">
        <v>4760.68</v>
      </c>
      <c r="G187" s="174">
        <f t="shared" si="59"/>
        <v>-1.0228945420675737E-2</v>
      </c>
      <c r="H187" s="252">
        <f t="shared" si="60"/>
        <v>-6.5011685684545351E-2</v>
      </c>
      <c r="I187" s="253">
        <v>308835.23</v>
      </c>
      <c r="J187" s="254">
        <v>400000</v>
      </c>
      <c r="K187" s="254">
        <f t="shared" si="61"/>
        <v>4034.9699999999721</v>
      </c>
      <c r="L187" s="174">
        <f t="shared" si="45"/>
        <v>1.3238079258856183E-2</v>
      </c>
      <c r="M187" s="255">
        <f t="shared" si="54"/>
        <v>-91164.770000000019</v>
      </c>
      <c r="N187" s="256">
        <f t="shared" si="55"/>
        <v>-0.22791192500000004</v>
      </c>
      <c r="O187" s="255" t="b">
        <f t="shared" si="53"/>
        <v>1</v>
      </c>
      <c r="P187" s="256">
        <f>COUNTIF(O$2:O187, TRUE)/(COUNTIF(O$2:O187,FALSE) + COUNTIF(O$2:O187, TRUE))</f>
        <v>0.478494623655914</v>
      </c>
      <c r="Q187" s="254">
        <v>248232.13</v>
      </c>
      <c r="R187" s="254">
        <f t="shared" si="52"/>
        <v>60603.099999999977</v>
      </c>
      <c r="S187" s="254"/>
      <c r="T187" s="254"/>
      <c r="U187" s="256">
        <f>STDEV(D$2:D187)*SQRT(252)</f>
        <v>0.18328184052807739</v>
      </c>
      <c r="V187" s="256">
        <f>STDEV(L$2:L187)*SQRT(252)</f>
        <v>0.39045309819153251</v>
      </c>
      <c r="W187" s="255">
        <f t="shared" si="43"/>
        <v>-0.58371140107639852</v>
      </c>
    </row>
    <row r="188" spans="2:23" ht="20.100000000000001" customHeight="1" x14ac:dyDescent="0.25">
      <c r="B188" s="248">
        <v>42502</v>
      </c>
      <c r="C188" s="249">
        <v>2064.11</v>
      </c>
      <c r="D188" s="174">
        <f t="shared" si="57"/>
        <v>-1.6953585925612947E-4</v>
      </c>
      <c r="E188" s="250">
        <f t="shared" si="58"/>
        <v>-1.8231198036567E-2</v>
      </c>
      <c r="F188" s="251">
        <v>4737.33</v>
      </c>
      <c r="G188" s="174">
        <f t="shared" si="59"/>
        <v>-4.9047615046590746E-3</v>
      </c>
      <c r="H188" s="252">
        <f t="shared" si="60"/>
        <v>-6.9597580375905868E-2</v>
      </c>
      <c r="I188" s="253">
        <v>304301.34000000003</v>
      </c>
      <c r="J188" s="254">
        <v>400000</v>
      </c>
      <c r="K188" s="254">
        <f t="shared" si="61"/>
        <v>-4533.8899999999558</v>
      </c>
      <c r="L188" s="174">
        <f t="shared" si="45"/>
        <v>-1.4680611405635154E-2</v>
      </c>
      <c r="M188" s="255">
        <f t="shared" si="54"/>
        <v>-95698.659999999974</v>
      </c>
      <c r="N188" s="256">
        <f t="shared" si="55"/>
        <v>-0.23924664999999995</v>
      </c>
      <c r="O188" s="255" t="b">
        <f t="shared" si="53"/>
        <v>0</v>
      </c>
      <c r="P188" s="256">
        <f>COUNTIF(O$2:O188, TRUE)/(COUNTIF(O$2:O188,FALSE) + COUNTIF(O$2:O188, TRUE))</f>
        <v>0.47593582887700536</v>
      </c>
      <c r="Q188" s="254">
        <v>280165.89</v>
      </c>
      <c r="R188" s="254">
        <f t="shared" si="52"/>
        <v>24135.450000000012</v>
      </c>
      <c r="S188" s="254"/>
      <c r="T188" s="254"/>
      <c r="U188" s="256">
        <f>STDEV(D$2:D188)*SQRT(252)</f>
        <v>0.1827858829252009</v>
      </c>
      <c r="V188" s="256">
        <f>STDEV(L$2:L188)*SQRT(252)</f>
        <v>0.38974137838139039</v>
      </c>
      <c r="W188" s="255">
        <f t="shared" si="43"/>
        <v>-0.61386001915834465</v>
      </c>
    </row>
    <row r="189" spans="2:23" ht="20.100000000000001" customHeight="1" x14ac:dyDescent="0.25">
      <c r="B189" s="248">
        <v>42503</v>
      </c>
      <c r="C189" s="249">
        <v>2046.61</v>
      </c>
      <c r="D189" s="174">
        <f t="shared" si="57"/>
        <v>-8.4782303268722235E-3</v>
      </c>
      <c r="E189" s="250">
        <f t="shared" si="58"/>
        <v>-2.6554860067350389E-2</v>
      </c>
      <c r="F189" s="251">
        <v>4717.68</v>
      </c>
      <c r="G189" s="174">
        <f t="shared" si="59"/>
        <v>-4.1479060990050592E-3</v>
      </c>
      <c r="H189" s="252">
        <f t="shared" si="60"/>
        <v>-7.3456802246793712E-2</v>
      </c>
      <c r="I189" s="253">
        <v>303736.26</v>
      </c>
      <c r="J189" s="254">
        <v>400000</v>
      </c>
      <c r="K189" s="254">
        <f t="shared" si="61"/>
        <v>-565.0800000000163</v>
      </c>
      <c r="L189" s="174">
        <f t="shared" si="45"/>
        <v>-1.8569750629425959E-3</v>
      </c>
      <c r="M189" s="255">
        <f t="shared" si="54"/>
        <v>-96263.739999999991</v>
      </c>
      <c r="N189" s="256">
        <f t="shared" si="55"/>
        <v>-0.24065934999999997</v>
      </c>
      <c r="O189" s="255" t="b">
        <f t="shared" si="53"/>
        <v>1</v>
      </c>
      <c r="P189" s="256">
        <f>COUNTIF(O$2:O189, TRUE)/(COUNTIF(O$2:O189,FALSE) + COUNTIF(O$2:O189, TRUE))</f>
        <v>0.47872340425531917</v>
      </c>
      <c r="Q189" s="254">
        <v>251738</v>
      </c>
      <c r="R189" s="254">
        <f t="shared" si="52"/>
        <v>51998.260000000009</v>
      </c>
      <c r="S189" s="254"/>
      <c r="T189" s="254"/>
      <c r="U189" s="256">
        <f>STDEV(D$2:D189)*SQRT(252)</f>
        <v>0.18255729754579855</v>
      </c>
      <c r="V189" s="256">
        <f>STDEV(L$2:L189)*SQRT(252)</f>
        <v>0.38869471253740751</v>
      </c>
      <c r="W189" s="255">
        <f t="shared" si="43"/>
        <v>-0.6191474754801024</v>
      </c>
    </row>
    <row r="190" spans="2:23" ht="20.100000000000001" customHeight="1" x14ac:dyDescent="0.25">
      <c r="B190" s="175">
        <v>42506</v>
      </c>
      <c r="C190" s="219">
        <v>2066.66</v>
      </c>
      <c r="D190" s="174">
        <f t="shared" si="57"/>
        <v>9.7966881819203239E-3</v>
      </c>
      <c r="E190" s="213">
        <f t="shared" si="58"/>
        <v>-1.7018321569224424E-2</v>
      </c>
      <c r="F190" s="223">
        <v>4775.45</v>
      </c>
      <c r="G190" s="174">
        <f t="shared" si="59"/>
        <v>1.224542571772556E-2</v>
      </c>
      <c r="H190" s="207">
        <f t="shared" si="60"/>
        <v>-6.2110886344442916E-2</v>
      </c>
      <c r="I190" s="225">
        <v>310136.52</v>
      </c>
      <c r="J190" s="176">
        <v>400000</v>
      </c>
      <c r="K190" s="176">
        <f t="shared" si="61"/>
        <v>6400.2600000000093</v>
      </c>
      <c r="L190" s="174">
        <f t="shared" si="45"/>
        <v>2.1071767987134657E-2</v>
      </c>
      <c r="M190" s="186">
        <f t="shared" si="54"/>
        <v>-89863.479999999981</v>
      </c>
      <c r="N190" s="188">
        <f t="shared" ref="N190:N221" si="62">M190/J190</f>
        <v>-0.22465869999999996</v>
      </c>
      <c r="O190" s="186" t="b">
        <f t="shared" si="53"/>
        <v>1</v>
      </c>
      <c r="P190" s="188">
        <f>COUNTIF(O$2:O190, TRUE)/(COUNTIF(O$2:O190,FALSE) + COUNTIF(O$2:O190, TRUE))</f>
        <v>0.48148148148148145</v>
      </c>
      <c r="Q190" s="176">
        <v>258123.64</v>
      </c>
      <c r="R190" s="176">
        <f t="shared" si="52"/>
        <v>52012.880000000005</v>
      </c>
      <c r="S190" s="176"/>
      <c r="T190" s="176"/>
      <c r="U190" s="188">
        <f>STDEV(D$2:D190)*SQRT(252)</f>
        <v>0.18242711588099725</v>
      </c>
      <c r="V190" s="188">
        <f>STDEV(L$2:L190)*SQRT(252)</f>
        <v>0.38847097955636578</v>
      </c>
      <c r="W190" s="186">
        <f t="shared" si="43"/>
        <v>-0.57831527146908224</v>
      </c>
    </row>
    <row r="191" spans="2:23" ht="20.100000000000001" customHeight="1" x14ac:dyDescent="0.25">
      <c r="B191" s="175">
        <v>42507</v>
      </c>
      <c r="C191" s="219">
        <v>2047.21</v>
      </c>
      <c r="D191" s="174">
        <f>(C191-C190)/C190</f>
        <v>-9.4113206816795313E-3</v>
      </c>
      <c r="E191" s="213">
        <f t="shared" si="58"/>
        <v>-2.6269477369152042E-2</v>
      </c>
      <c r="F191" s="223">
        <v>4715.7299999999996</v>
      </c>
      <c r="G191" s="174">
        <f>(F191-F190)/F190</f>
        <v>-1.2505627741888252E-2</v>
      </c>
      <c r="H191" s="207">
        <f t="shared" si="60"/>
        <v>-7.3839778462988837E-2</v>
      </c>
      <c r="I191" s="225">
        <v>311039.01</v>
      </c>
      <c r="J191" s="176">
        <v>400000</v>
      </c>
      <c r="K191" s="176">
        <f t="shared" si="61"/>
        <v>902.48999999999069</v>
      </c>
      <c r="L191" s="174">
        <f t="shared" si="45"/>
        <v>2.9099765483922711E-3</v>
      </c>
      <c r="M191" s="186">
        <f t="shared" si="54"/>
        <v>-88960.989999999991</v>
      </c>
      <c r="N191" s="188">
        <f t="shared" si="62"/>
        <v>-0.22240247499999999</v>
      </c>
      <c r="O191" s="186" t="b">
        <f t="shared" si="53"/>
        <v>1</v>
      </c>
      <c r="P191" s="188">
        <f>COUNTIF(O$2:O191, TRUE)/(COUNTIF(O$2:O191,FALSE) + COUNTIF(O$2:O191, TRUE))</f>
        <v>0.48421052631578948</v>
      </c>
      <c r="Q191" s="176">
        <v>255974.63</v>
      </c>
      <c r="R191" s="176">
        <f t="shared" si="52"/>
        <v>55064.380000000005</v>
      </c>
      <c r="S191" s="176"/>
      <c r="T191" s="176"/>
      <c r="U191" s="188">
        <f>STDEV(D$2:D191)*SQRT(252)</f>
        <v>0.18226379341821147</v>
      </c>
      <c r="V191" s="188">
        <f>STDEV(L$2:L191)*SQRT(252)</f>
        <v>0.38745717293573728</v>
      </c>
      <c r="W191" s="186">
        <f t="shared" si="43"/>
        <v>-0.57400531087054396</v>
      </c>
    </row>
    <row r="192" spans="2:23" ht="20.100000000000001" customHeight="1" x14ac:dyDescent="0.25">
      <c r="B192" s="175">
        <v>42508</v>
      </c>
      <c r="C192" s="219">
        <v>2047.63</v>
      </c>
      <c r="D192" s="174">
        <f>(C192-C191)/C191</f>
        <v>2.051572628113739E-4</v>
      </c>
      <c r="E192" s="213">
        <f t="shared" ref="E192:E223" si="63">(C192-$C$2)/$C$2</f>
        <v>-2.6069709480413209E-2</v>
      </c>
      <c r="F192" s="223">
        <v>4739.1099999999997</v>
      </c>
      <c r="G192" s="174">
        <f t="shared" ref="G192:G255" si="64">(F192-F191)/F191</f>
        <v>4.9578750267721249E-3</v>
      </c>
      <c r="H192" s="207">
        <f t="shared" ref="H192:H223" si="65">(F192-F$2)/F$2</f>
        <v>-6.9247991829840747E-2</v>
      </c>
      <c r="I192" s="225">
        <v>310817.56</v>
      </c>
      <c r="J192" s="176">
        <v>400000</v>
      </c>
      <c r="K192" s="176">
        <f t="shared" ref="K192:K223" si="66">I192-I191-J192+J191</f>
        <v>-221.45000000001164</v>
      </c>
      <c r="L192" s="174">
        <f t="shared" si="45"/>
        <v>-7.1196857268807415E-4</v>
      </c>
      <c r="M192" s="186">
        <f t="shared" ref="M192:M223" si="67">I192-J192</f>
        <v>-89182.44</v>
      </c>
      <c r="N192" s="188">
        <f t="shared" si="62"/>
        <v>-0.22295610000000002</v>
      </c>
      <c r="O192" s="186" t="b">
        <f t="shared" ref="O192:O223" si="68">L192&gt;D192</f>
        <v>0</v>
      </c>
      <c r="P192" s="188">
        <f>COUNTIF(O$2:O192, TRUE)/(COUNTIF(O$2:O192,FALSE) + COUNTIF(O$2:O192, TRUE))</f>
        <v>0.48167539267015708</v>
      </c>
      <c r="Q192" s="176">
        <v>257102.48</v>
      </c>
      <c r="R192" s="176">
        <f t="shared" ref="R192:R236" si="69">I192-Q192</f>
        <v>53715.079999999987</v>
      </c>
      <c r="S192" s="176"/>
      <c r="T192" s="176"/>
      <c r="U192" s="188">
        <f>STDEV(D$2:D192)*SQRT(252)</f>
        <v>0.18178126131382988</v>
      </c>
      <c r="V192" s="188">
        <f>STDEV(L$2:L192)*SQRT(252)</f>
        <v>0.38643084331736716</v>
      </c>
      <c r="W192" s="186">
        <f t="shared" si="43"/>
        <v>-0.5769624859289274</v>
      </c>
    </row>
    <row r="193" spans="2:23" ht="20.100000000000001" customHeight="1" x14ac:dyDescent="0.25">
      <c r="B193" s="175">
        <v>42509</v>
      </c>
      <c r="C193" s="219">
        <v>2040.04</v>
      </c>
      <c r="D193" s="174">
        <f t="shared" ref="D193:D256" si="70">(C193-C192)/C192</f>
        <v>-3.7067243593814046E-3</v>
      </c>
      <c r="E193" s="213">
        <f t="shared" si="63"/>
        <v>-2.9679800612621567E-2</v>
      </c>
      <c r="F193" s="223">
        <v>4712.53</v>
      </c>
      <c r="G193" s="174">
        <f t="shared" si="64"/>
        <v>-5.6086480372896869E-3</v>
      </c>
      <c r="H193" s="207">
        <f t="shared" si="65"/>
        <v>-7.4468252253667752E-2</v>
      </c>
      <c r="I193" s="225">
        <v>311569.3</v>
      </c>
      <c r="J193" s="176">
        <v>400000</v>
      </c>
      <c r="K193" s="176">
        <f t="shared" si="66"/>
        <v>751.73999999999069</v>
      </c>
      <c r="L193" s="174">
        <f t="shared" si="45"/>
        <v>2.4185892199912731E-3</v>
      </c>
      <c r="M193" s="186">
        <f t="shared" si="67"/>
        <v>-88430.700000000012</v>
      </c>
      <c r="N193" s="188">
        <f t="shared" si="62"/>
        <v>-0.22107675000000002</v>
      </c>
      <c r="O193" s="186" t="b">
        <f t="shared" si="68"/>
        <v>1</v>
      </c>
      <c r="P193" s="188">
        <f>COUNTIF(O$2:O193, TRUE)/(COUNTIF(O$2:O193,FALSE) + COUNTIF(O$2:O193, TRUE))</f>
        <v>0.484375</v>
      </c>
      <c r="Q193" s="176">
        <v>263424.27</v>
      </c>
      <c r="R193" s="176">
        <f t="shared" si="69"/>
        <v>48145.02999999997</v>
      </c>
      <c r="S193" s="176"/>
      <c r="T193" s="176"/>
      <c r="U193" s="188">
        <f>STDEV(D$2:D193)*SQRT(252)</f>
        <v>0.18135027686058963</v>
      </c>
      <c r="V193" s="188">
        <f>STDEV(L$2:L193)*SQRT(252)</f>
        <v>0.38542760333105391</v>
      </c>
      <c r="W193" s="186">
        <f t="shared" si="43"/>
        <v>-0.57358826427932663</v>
      </c>
    </row>
    <row r="194" spans="2:23" ht="20.100000000000001" customHeight="1" x14ac:dyDescent="0.25">
      <c r="B194" s="175">
        <v>42510</v>
      </c>
      <c r="C194" s="219">
        <v>2052.3200000000002</v>
      </c>
      <c r="D194" s="174">
        <f t="shared" si="70"/>
        <v>6.0194898139253154E-3</v>
      </c>
      <c r="E194" s="213">
        <f t="shared" si="63"/>
        <v>-2.3838968056163264E-2</v>
      </c>
      <c r="F194" s="223">
        <v>4769.55</v>
      </c>
      <c r="G194" s="174">
        <f t="shared" si="64"/>
        <v>1.209965772101195E-2</v>
      </c>
      <c r="H194" s="207">
        <f t="shared" si="65"/>
        <v>-6.3269634896007163E-2</v>
      </c>
      <c r="I194" s="225">
        <v>320418.83</v>
      </c>
      <c r="J194" s="176">
        <v>400000</v>
      </c>
      <c r="K194" s="176">
        <f t="shared" si="66"/>
        <v>8849.5300000000279</v>
      </c>
      <c r="L194" s="174">
        <f t="shared" si="45"/>
        <v>2.8403087210453752E-2</v>
      </c>
      <c r="M194" s="186">
        <f t="shared" si="67"/>
        <v>-79581.169999999984</v>
      </c>
      <c r="N194" s="188">
        <f t="shared" si="62"/>
        <v>-0.19895292499999995</v>
      </c>
      <c r="O194" s="186" t="b">
        <f t="shared" si="68"/>
        <v>1</v>
      </c>
      <c r="P194" s="188">
        <f>COUNTIF(O$2:O194, TRUE)/(COUNTIF(O$2:O194,FALSE) + COUNTIF(O$2:O194, TRUE))</f>
        <v>0.48704663212435234</v>
      </c>
      <c r="Q194" s="176">
        <v>264120.78000000003</v>
      </c>
      <c r="R194" s="176">
        <f t="shared" si="69"/>
        <v>56298.049999999988</v>
      </c>
      <c r="S194" s="176"/>
      <c r="T194" s="176"/>
      <c r="U194" s="188">
        <f>STDEV(D$2:D194)*SQRT(252)</f>
        <v>0.18101041145584279</v>
      </c>
      <c r="V194" s="188">
        <f>STDEV(L$2:L194)*SQRT(252)</f>
        <v>0.38584361102495252</v>
      </c>
      <c r="W194" s="186">
        <f t="shared" si="43"/>
        <v>-0.51563099482586394</v>
      </c>
    </row>
    <row r="195" spans="2:23" ht="20.100000000000001" customHeight="1" x14ac:dyDescent="0.25">
      <c r="B195" s="248">
        <v>42513</v>
      </c>
      <c r="C195" s="249">
        <v>2048.04</v>
      </c>
      <c r="D195" s="174">
        <f t="shared" si="70"/>
        <v>-2.085444764949033E-3</v>
      </c>
      <c r="E195" s="250">
        <f t="shared" si="63"/>
        <v>-2.5874697969977784E-2</v>
      </c>
      <c r="F195" s="251">
        <v>4765.78</v>
      </c>
      <c r="G195" s="174">
        <f t="shared" si="64"/>
        <v>-7.9043096308885254E-4</v>
      </c>
      <c r="H195" s="252">
        <f t="shared" si="65"/>
        <v>-6.4010055580650885E-2</v>
      </c>
      <c r="I195" s="253">
        <v>322945.12</v>
      </c>
      <c r="J195" s="254">
        <v>400000</v>
      </c>
      <c r="K195" s="254">
        <f t="shared" si="66"/>
        <v>2526.289999999979</v>
      </c>
      <c r="L195" s="174">
        <f t="shared" si="45"/>
        <v>7.8843368849451784E-3</v>
      </c>
      <c r="M195" s="255">
        <f t="shared" si="67"/>
        <v>-77054.880000000005</v>
      </c>
      <c r="N195" s="256">
        <f t="shared" si="62"/>
        <v>-0.19263720000000001</v>
      </c>
      <c r="O195" s="255" t="b">
        <f t="shared" si="68"/>
        <v>1</v>
      </c>
      <c r="P195" s="256">
        <f>COUNTIF(O$2:O195, TRUE)/(COUNTIF(O$2:O195,FALSE) + COUNTIF(O$2:O195, TRUE))</f>
        <v>0.48969072164948452</v>
      </c>
      <c r="Q195" s="254">
        <v>257529.17</v>
      </c>
      <c r="R195" s="254">
        <f t="shared" si="69"/>
        <v>65415.949999999983</v>
      </c>
      <c r="S195" s="254"/>
      <c r="T195" s="254"/>
      <c r="U195" s="256">
        <f>STDEV(D$2:D195)*SQRT(252)</f>
        <v>0.18055323575964988</v>
      </c>
      <c r="V195" s="256">
        <f>STDEV(L$2:L195)*SQRT(252)</f>
        <v>0.38495329027119468</v>
      </c>
      <c r="W195" s="255">
        <f t="shared" ref="W195:W258" si="71">N195/V195</f>
        <v>-0.50041707622316867</v>
      </c>
    </row>
    <row r="196" spans="2:23" ht="20.100000000000001" customHeight="1" x14ac:dyDescent="0.25">
      <c r="B196" s="248">
        <v>42514</v>
      </c>
      <c r="C196" s="249">
        <v>2076.06</v>
      </c>
      <c r="D196" s="174">
        <f t="shared" si="70"/>
        <v>1.3681373410675565E-2</v>
      </c>
      <c r="E196" s="250">
        <f t="shared" si="63"/>
        <v>-1.2547325964117933E-2</v>
      </c>
      <c r="F196" s="251">
        <v>4861.05</v>
      </c>
      <c r="G196" s="174">
        <f t="shared" si="64"/>
        <v>1.9990431786612146E-2</v>
      </c>
      <c r="H196" s="252">
        <f t="shared" si="65"/>
        <v>-4.5299212443780983E-2</v>
      </c>
      <c r="I196" s="253">
        <v>324441.06</v>
      </c>
      <c r="J196" s="254">
        <v>400000</v>
      </c>
      <c r="K196" s="254">
        <f t="shared" si="66"/>
        <v>1495.9400000000023</v>
      </c>
      <c r="L196" s="174">
        <f t="shared" ref="L196:L219" si="72">K196/I195</f>
        <v>4.6321802292600125E-3</v>
      </c>
      <c r="M196" s="255">
        <f t="shared" si="67"/>
        <v>-75558.94</v>
      </c>
      <c r="N196" s="256">
        <f t="shared" si="62"/>
        <v>-0.18889735000000002</v>
      </c>
      <c r="O196" s="255" t="b">
        <f t="shared" si="68"/>
        <v>0</v>
      </c>
      <c r="P196" s="256">
        <f>COUNTIF(O$2:O196, TRUE)/(COUNTIF(O$2:O196,FALSE) + COUNTIF(O$2:O196, TRUE))</f>
        <v>0.48717948717948717</v>
      </c>
      <c r="Q196" s="254">
        <v>256296.81</v>
      </c>
      <c r="R196" s="254">
        <f t="shared" si="69"/>
        <v>68144.25</v>
      </c>
      <c r="S196" s="254"/>
      <c r="T196" s="254"/>
      <c r="U196" s="256">
        <f>STDEV(D$2:D196)*SQRT(252)</f>
        <v>0.18076572452731524</v>
      </c>
      <c r="V196" s="256">
        <f>STDEV(L$2:L196)*SQRT(252)</f>
        <v>0.38399644388523335</v>
      </c>
      <c r="W196" s="255">
        <f t="shared" si="71"/>
        <v>-0.4919247378667303</v>
      </c>
    </row>
    <row r="197" spans="2:23" ht="20.100000000000001" customHeight="1" x14ac:dyDescent="0.25">
      <c r="B197" s="248">
        <v>42515</v>
      </c>
      <c r="C197" s="249">
        <v>2090.54</v>
      </c>
      <c r="D197" s="174">
        <f t="shared" si="70"/>
        <v>6.9747502480660573E-3</v>
      </c>
      <c r="E197" s="250">
        <f t="shared" si="63"/>
        <v>-5.6600901809326738E-3</v>
      </c>
      <c r="F197" s="251">
        <v>4894.8900000000003</v>
      </c>
      <c r="G197" s="174">
        <f t="shared" si="64"/>
        <v>6.9614589440553263E-3</v>
      </c>
      <c r="H197" s="252">
        <f t="shared" si="65"/>
        <v>-3.8653102107351081E-2</v>
      </c>
      <c r="I197" s="253">
        <v>329556.86</v>
      </c>
      <c r="J197" s="254">
        <v>400000</v>
      </c>
      <c r="K197" s="254">
        <f t="shared" si="66"/>
        <v>5115.7999999999884</v>
      </c>
      <c r="L197" s="174">
        <f t="shared" si="72"/>
        <v>1.5768041196758474E-2</v>
      </c>
      <c r="M197" s="255">
        <f t="shared" si="67"/>
        <v>-70443.140000000014</v>
      </c>
      <c r="N197" s="256">
        <f t="shared" si="62"/>
        <v>-0.17610785000000004</v>
      </c>
      <c r="O197" s="255" t="b">
        <f t="shared" si="68"/>
        <v>1</v>
      </c>
      <c r="P197" s="256">
        <f>COUNTIF(O$2:O197, TRUE)/(COUNTIF(O$2:O197,FALSE) + COUNTIF(O$2:O197, TRUE))</f>
        <v>0.48979591836734693</v>
      </c>
      <c r="Q197" s="254">
        <v>253103.72</v>
      </c>
      <c r="R197" s="254">
        <f t="shared" si="69"/>
        <v>76453.139999999985</v>
      </c>
      <c r="S197" s="254"/>
      <c r="T197" s="254"/>
      <c r="U197" s="256">
        <f>STDEV(D$2:D197)*SQRT(252)</f>
        <v>0.18047351369657114</v>
      </c>
      <c r="V197" s="256">
        <f>STDEV(L$2:L197)*SQRT(252)</f>
        <v>0.38344132562048239</v>
      </c>
      <c r="W197" s="255">
        <f t="shared" si="71"/>
        <v>-0.45928239402736104</v>
      </c>
    </row>
    <row r="198" spans="2:23" ht="20.100000000000001" customHeight="1" x14ac:dyDescent="0.25">
      <c r="B198" s="248">
        <v>42516</v>
      </c>
      <c r="C198" s="249">
        <v>2090.1</v>
      </c>
      <c r="D198" s="174">
        <f t="shared" si="70"/>
        <v>-2.1047193548081098E-4</v>
      </c>
      <c r="E198" s="250">
        <f t="shared" si="63"/>
        <v>-5.8693708262781081E-3</v>
      </c>
      <c r="F198" s="251">
        <v>4901.76</v>
      </c>
      <c r="G198" s="174">
        <f t="shared" si="64"/>
        <v>1.4035044709891111E-3</v>
      </c>
      <c r="H198" s="252">
        <f t="shared" si="65"/>
        <v>-3.7303847437987238E-2</v>
      </c>
      <c r="I198" s="253">
        <v>327477.31</v>
      </c>
      <c r="J198" s="254">
        <v>400000</v>
      </c>
      <c r="K198" s="254">
        <f t="shared" si="66"/>
        <v>-2079.5499999999884</v>
      </c>
      <c r="L198" s="174">
        <f t="shared" si="72"/>
        <v>-6.3101402289122083E-3</v>
      </c>
      <c r="M198" s="255">
        <f t="shared" si="67"/>
        <v>-72522.69</v>
      </c>
      <c r="N198" s="256">
        <f t="shared" si="62"/>
        <v>-0.181306725</v>
      </c>
      <c r="O198" s="255" t="b">
        <f t="shared" si="68"/>
        <v>0</v>
      </c>
      <c r="P198" s="256">
        <f>COUNTIF(O$2:O198, TRUE)/(COUNTIF(O$2:O198,FALSE) + COUNTIF(O$2:O198, TRUE))</f>
        <v>0.48730964467005078</v>
      </c>
      <c r="Q198" s="254">
        <v>253608.16</v>
      </c>
      <c r="R198" s="254">
        <f t="shared" si="69"/>
        <v>73869.149999999994</v>
      </c>
      <c r="S198" s="254"/>
      <c r="T198" s="254"/>
      <c r="U198" s="256">
        <f>STDEV(D$2:D198)*SQRT(252)</f>
        <v>0.18001038194737823</v>
      </c>
      <c r="V198" s="256">
        <f>STDEV(L$2:L198)*SQRT(252)</f>
        <v>0.38251907030209392</v>
      </c>
      <c r="W198" s="255">
        <f t="shared" si="71"/>
        <v>-0.4739808785397634</v>
      </c>
    </row>
    <row r="199" spans="2:23" ht="20.100000000000001" customHeight="1" x14ac:dyDescent="0.25">
      <c r="B199" s="248">
        <v>42517</v>
      </c>
      <c r="C199" s="249">
        <v>2099.06</v>
      </c>
      <c r="D199" s="174">
        <f t="shared" si="70"/>
        <v>4.2868762260179112E-3</v>
      </c>
      <c r="E199" s="250">
        <f t="shared" si="63"/>
        <v>-1.6076558665170512E-3</v>
      </c>
      <c r="F199" s="251">
        <v>4933.5</v>
      </c>
      <c r="G199" s="174">
        <f t="shared" si="64"/>
        <v>6.4752252252251808E-3</v>
      </c>
      <c r="H199" s="252">
        <f t="shared" si="65"/>
        <v>-3.1070173026690462E-2</v>
      </c>
      <c r="I199" s="253">
        <v>327126.28999999998</v>
      </c>
      <c r="J199" s="254">
        <v>400000</v>
      </c>
      <c r="K199" s="254">
        <f t="shared" si="66"/>
        <v>-351.02000000001863</v>
      </c>
      <c r="L199" s="174">
        <f t="shared" si="72"/>
        <v>-1.0718910571239841E-3</v>
      </c>
      <c r="M199" s="255">
        <f t="shared" si="67"/>
        <v>-72873.710000000021</v>
      </c>
      <c r="N199" s="256">
        <f t="shared" si="62"/>
        <v>-0.18218427500000006</v>
      </c>
      <c r="O199" s="255" t="b">
        <f t="shared" si="68"/>
        <v>0</v>
      </c>
      <c r="P199" s="256">
        <f>COUNTIF(O$2:O199, TRUE)/(COUNTIF(O$2:O199,FALSE) + COUNTIF(O$2:O199, TRUE))</f>
        <v>0.48484848484848486</v>
      </c>
      <c r="Q199" s="254">
        <v>252103.35</v>
      </c>
      <c r="R199" s="254">
        <f t="shared" si="69"/>
        <v>75022.939999999973</v>
      </c>
      <c r="S199" s="254">
        <v>-82653.611999999514</v>
      </c>
      <c r="T199" s="254">
        <f t="shared" ref="T199:T204" si="73">M199-S199</f>
        <v>9779.9019999994925</v>
      </c>
      <c r="U199" s="256">
        <f>STDEV(D$2:D199)*SQRT(252)</f>
        <v>0.17961500199880534</v>
      </c>
      <c r="V199" s="256">
        <f>STDEV(L$2:L199)*SQRT(252)</f>
        <v>0.38154311840719901</v>
      </c>
      <c r="W199" s="255">
        <f t="shared" si="71"/>
        <v>-0.47749327981736855</v>
      </c>
    </row>
    <row r="200" spans="2:23" ht="20.100000000000001" customHeight="1" x14ac:dyDescent="0.25">
      <c r="B200" s="175">
        <v>42521</v>
      </c>
      <c r="C200" s="219">
        <v>2096.9499999999998</v>
      </c>
      <c r="D200" s="174">
        <f t="shared" si="70"/>
        <v>-1.0052118567359328E-3</v>
      </c>
      <c r="E200" s="213">
        <f t="shared" si="63"/>
        <v>-2.6112516885144102E-3</v>
      </c>
      <c r="F200" s="223">
        <v>4948.05</v>
      </c>
      <c r="G200" s="174">
        <f t="shared" si="64"/>
        <v>2.9492246883551601E-3</v>
      </c>
      <c r="H200" s="207">
        <f t="shared" si="65"/>
        <v>-2.8212581259697084E-2</v>
      </c>
      <c r="I200" s="485">
        <v>330773</v>
      </c>
      <c r="J200" s="176">
        <v>400000</v>
      </c>
      <c r="K200" s="176">
        <f t="shared" si="66"/>
        <v>3646.710000000021</v>
      </c>
      <c r="L200" s="174">
        <f t="shared" si="72"/>
        <v>1.1147713013221962E-2</v>
      </c>
      <c r="M200" s="186">
        <f t="shared" si="67"/>
        <v>-69227</v>
      </c>
      <c r="N200" s="188">
        <f t="shared" si="62"/>
        <v>-0.17306750000000001</v>
      </c>
      <c r="O200" s="186" t="b">
        <f t="shared" si="68"/>
        <v>1</v>
      </c>
      <c r="P200" s="188">
        <f>COUNTIF(O$2:O200, TRUE)/(COUNTIF(O$2:O200,FALSE) + COUNTIF(O$2:O200, TRUE))</f>
        <v>0.48743718592964824</v>
      </c>
      <c r="Q200" s="176">
        <v>253849.33</v>
      </c>
      <c r="R200" s="176">
        <f t="shared" si="69"/>
        <v>76923.670000000013</v>
      </c>
      <c r="S200" s="176">
        <v>-78775</v>
      </c>
      <c r="T200" s="176">
        <f t="shared" si="73"/>
        <v>9548</v>
      </c>
      <c r="U200" s="188">
        <f>STDEV(D$2:D200)*SQRT(252)</f>
        <v>0.17916254338672621</v>
      </c>
      <c r="V200" s="188">
        <f>STDEV(L$2:L200)*SQRT(252)</f>
        <v>0.38079113185082497</v>
      </c>
      <c r="W200" s="186">
        <f t="shared" si="71"/>
        <v>-0.45449456545589734</v>
      </c>
    </row>
    <row r="201" spans="2:23" ht="20.100000000000001" customHeight="1" x14ac:dyDescent="0.25">
      <c r="B201" s="175">
        <v>42522</v>
      </c>
      <c r="C201" s="219">
        <v>2099.33</v>
      </c>
      <c r="D201" s="174">
        <f t="shared" si="70"/>
        <v>1.1349817592217789E-3</v>
      </c>
      <c r="E201" s="213">
        <f t="shared" si="63"/>
        <v>-1.4792336523278321E-3</v>
      </c>
      <c r="F201" s="223">
        <v>4952.25</v>
      </c>
      <c r="G201" s="174">
        <f t="shared" si="64"/>
        <v>8.4881923181855839E-4</v>
      </c>
      <c r="H201" s="207">
        <f t="shared" si="65"/>
        <v>-2.7387709409430999E-2</v>
      </c>
      <c r="I201" s="225">
        <v>334317.64</v>
      </c>
      <c r="J201" s="176">
        <v>400000</v>
      </c>
      <c r="K201" s="176">
        <f t="shared" si="66"/>
        <v>3544.640000000014</v>
      </c>
      <c r="L201" s="174">
        <f t="shared" si="72"/>
        <v>1.0716231373177417E-2</v>
      </c>
      <c r="M201" s="186">
        <f t="shared" si="67"/>
        <v>-65682.359999999986</v>
      </c>
      <c r="N201" s="188">
        <f t="shared" si="62"/>
        <v>-0.16420589999999996</v>
      </c>
      <c r="O201" s="186" t="b">
        <f t="shared" si="68"/>
        <v>1</v>
      </c>
      <c r="P201" s="188">
        <f>COUNTIF(O$2:O201, TRUE)/(COUNTIF(O$2:O201,FALSE) + COUNTIF(O$2:O201, TRUE))</f>
        <v>0.49</v>
      </c>
      <c r="Q201" s="176">
        <v>248634.19</v>
      </c>
      <c r="R201" s="176">
        <f t="shared" si="69"/>
        <v>85683.450000000012</v>
      </c>
      <c r="S201" s="176">
        <v>-75736.72</v>
      </c>
      <c r="T201" s="176">
        <f t="shared" si="73"/>
        <v>10054.360000000015</v>
      </c>
      <c r="U201" s="188">
        <f>STDEV(D$2:D201)*SQRT(252)</f>
        <v>0.17871370889489749</v>
      </c>
      <c r="V201" s="188">
        <f>STDEV(L$2:L201)*SQRT(252)</f>
        <v>0.3800270839694988</v>
      </c>
      <c r="W201" s="186">
        <f t="shared" si="71"/>
        <v>-0.43208999286266453</v>
      </c>
    </row>
    <row r="202" spans="2:23" ht="20.100000000000001" customHeight="1" x14ac:dyDescent="0.25">
      <c r="B202" s="175">
        <v>42523</v>
      </c>
      <c r="C202" s="219">
        <v>2105.2600000000002</v>
      </c>
      <c r="D202" s="174">
        <f t="shared" si="70"/>
        <v>2.8247107410460915E-3</v>
      </c>
      <c r="E202" s="213">
        <f t="shared" si="63"/>
        <v>1.3412986815320121E-3</v>
      </c>
      <c r="F202" s="223">
        <v>4971.3599999999997</v>
      </c>
      <c r="G202" s="174">
        <f t="shared" si="64"/>
        <v>3.8588520369528339E-3</v>
      </c>
      <c r="H202" s="207">
        <f t="shared" si="65"/>
        <v>-2.3634542490720223E-2</v>
      </c>
      <c r="I202" s="225">
        <v>335688.99</v>
      </c>
      <c r="J202" s="176">
        <v>400000</v>
      </c>
      <c r="K202" s="176">
        <f t="shared" si="66"/>
        <v>1371.3499999999767</v>
      </c>
      <c r="L202" s="174">
        <f t="shared" si="72"/>
        <v>4.1019373072864974E-3</v>
      </c>
      <c r="M202" s="186">
        <f t="shared" si="67"/>
        <v>-64311.010000000009</v>
      </c>
      <c r="N202" s="188">
        <f t="shared" si="62"/>
        <v>-0.16077752500000003</v>
      </c>
      <c r="O202" s="186" t="b">
        <f t="shared" si="68"/>
        <v>1</v>
      </c>
      <c r="P202" s="188">
        <f>COUNTIF(O$2:O202, TRUE)/(COUNTIF(O$2:O202,FALSE) + COUNTIF(O$2:O202, TRUE))</f>
        <v>0.4925373134328358</v>
      </c>
      <c r="Q202" s="176">
        <v>250005.54</v>
      </c>
      <c r="R202" s="176">
        <f t="shared" si="69"/>
        <v>85683.449999999983</v>
      </c>
      <c r="S202" s="176">
        <v>-74052.52</v>
      </c>
      <c r="T202" s="176">
        <f t="shared" si="73"/>
        <v>9741.5099999999948</v>
      </c>
      <c r="U202" s="188">
        <f>STDEV(D$2:D202)*SQRT(252)</f>
        <v>0.17829120938366202</v>
      </c>
      <c r="V202" s="188">
        <f>STDEV(L$2:L202)*SQRT(252)</f>
        <v>0.37910108221879157</v>
      </c>
      <c r="W202" s="186">
        <f t="shared" si="71"/>
        <v>-0.42410199427288919</v>
      </c>
    </row>
    <row r="203" spans="2:23" ht="20.100000000000001" customHeight="1" x14ac:dyDescent="0.25">
      <c r="B203" s="175">
        <v>42524</v>
      </c>
      <c r="C203" s="219">
        <v>2099.13</v>
      </c>
      <c r="D203" s="174">
        <f t="shared" si="70"/>
        <v>-2.911754367631603E-3</v>
      </c>
      <c r="E203" s="213">
        <f t="shared" si="63"/>
        <v>-1.5743612183938402E-3</v>
      </c>
      <c r="F203" s="223">
        <v>4942.51</v>
      </c>
      <c r="G203" s="174">
        <f t="shared" si="64"/>
        <v>-5.8032409642430755E-3</v>
      </c>
      <c r="H203" s="207">
        <f t="shared" si="65"/>
        <v>-2.9300626509810006E-2</v>
      </c>
      <c r="I203" s="225">
        <v>333931.11</v>
      </c>
      <c r="J203" s="176">
        <v>400000</v>
      </c>
      <c r="K203" s="176">
        <f t="shared" si="66"/>
        <v>-1757.8800000000047</v>
      </c>
      <c r="L203" s="174">
        <f t="shared" si="72"/>
        <v>-5.2366328725884179E-3</v>
      </c>
      <c r="M203" s="186">
        <f t="shared" si="67"/>
        <v>-66068.890000000014</v>
      </c>
      <c r="N203" s="188">
        <f t="shared" si="62"/>
        <v>-0.16517222500000003</v>
      </c>
      <c r="O203" s="186" t="b">
        <f t="shared" si="68"/>
        <v>0</v>
      </c>
      <c r="P203" s="188">
        <f>COUNTIF(O$2:O203, TRUE)/(COUNTIF(O$2:O203,FALSE) + COUNTIF(O$2:O203, TRUE))</f>
        <v>0.49009900990099009</v>
      </c>
      <c r="Q203" s="176">
        <v>260288.76</v>
      </c>
      <c r="R203" s="176">
        <f t="shared" si="69"/>
        <v>73642.349999999977</v>
      </c>
      <c r="S203" s="176">
        <v>-75134.75</v>
      </c>
      <c r="T203" s="176">
        <f t="shared" si="73"/>
        <v>9065.859999999986</v>
      </c>
      <c r="U203" s="188">
        <f>STDEV(D$2:D203)*SQRT(252)</f>
        <v>0.17787624865882645</v>
      </c>
      <c r="V203" s="188">
        <f>STDEV(L$2:L203)*SQRT(252)</f>
        <v>0.37819539294836535</v>
      </c>
      <c r="W203" s="186">
        <f t="shared" si="71"/>
        <v>-0.4367378029444976</v>
      </c>
    </row>
    <row r="204" spans="2:23" ht="20.100000000000001" customHeight="1" x14ac:dyDescent="0.25">
      <c r="B204" s="248">
        <v>42527</v>
      </c>
      <c r="C204" s="249">
        <v>2109.41</v>
      </c>
      <c r="D204" s="174">
        <f t="shared" si="70"/>
        <v>4.8972669629797792E-3</v>
      </c>
      <c r="E204" s="250">
        <f t="shared" si="63"/>
        <v>3.3151956774033027E-3</v>
      </c>
      <c r="F204" s="251">
        <v>4968.71</v>
      </c>
      <c r="G204" s="174">
        <f t="shared" si="64"/>
        <v>5.300950326858179E-3</v>
      </c>
      <c r="H204" s="252">
        <f t="shared" si="65"/>
        <v>-2.4154997348626153E-2</v>
      </c>
      <c r="I204" s="253">
        <v>340934.25</v>
      </c>
      <c r="J204" s="254">
        <v>400000</v>
      </c>
      <c r="K204" s="254">
        <f t="shared" si="66"/>
        <v>7003.140000000014</v>
      </c>
      <c r="L204" s="174">
        <f t="shared" si="72"/>
        <v>2.0971810622855757E-2</v>
      </c>
      <c r="M204" s="255">
        <f t="shared" si="67"/>
        <v>-59065.75</v>
      </c>
      <c r="N204" s="256">
        <f t="shared" si="62"/>
        <v>-0.14766437499999999</v>
      </c>
      <c r="O204" s="255" t="b">
        <f t="shared" si="68"/>
        <v>1</v>
      </c>
      <c r="P204" s="256">
        <f>COUNTIF(O$2:O204, TRUE)/(COUNTIF(O$2:O204,FALSE) + COUNTIF(O$2:O204, TRUE))</f>
        <v>0.49261083743842365</v>
      </c>
      <c r="Q204" s="254">
        <v>226096.58</v>
      </c>
      <c r="R204" s="254">
        <f t="shared" si="69"/>
        <v>114837.67000000001</v>
      </c>
      <c r="S204" s="254">
        <v>-68552.800000000003</v>
      </c>
      <c r="T204" s="254">
        <f t="shared" si="73"/>
        <v>9487.0500000000029</v>
      </c>
      <c r="U204" s="256">
        <f>STDEV(D$2:D204)*SQRT(252)</f>
        <v>0.17751563901521938</v>
      </c>
      <c r="V204" s="256">
        <f>STDEV(L$2:L204)*SQRT(252)</f>
        <v>0.3779906391006832</v>
      </c>
      <c r="W204" s="255">
        <f t="shared" si="71"/>
        <v>-0.39065616902927447</v>
      </c>
    </row>
    <row r="205" spans="2:23" ht="20.100000000000001" customHeight="1" x14ac:dyDescent="0.25">
      <c r="B205" s="248">
        <v>42528</v>
      </c>
      <c r="C205" s="249">
        <v>2112.13</v>
      </c>
      <c r="D205" s="174">
        <f t="shared" si="70"/>
        <v>1.289460085995731E-3</v>
      </c>
      <c r="E205" s="250">
        <f t="shared" si="63"/>
        <v>4.6089305759023109E-3</v>
      </c>
      <c r="F205" s="251">
        <v>4961.75</v>
      </c>
      <c r="G205" s="174">
        <f t="shared" si="64"/>
        <v>-1.4007659935878802E-3</v>
      </c>
      <c r="H205" s="252">
        <f t="shared" si="65"/>
        <v>-2.5521927843352873E-2</v>
      </c>
      <c r="I205" s="253">
        <v>347691.97</v>
      </c>
      <c r="J205" s="254">
        <v>400000</v>
      </c>
      <c r="K205" s="254">
        <f t="shared" si="66"/>
        <v>6757.7199999999721</v>
      </c>
      <c r="L205" s="174">
        <f t="shared" si="72"/>
        <v>1.9821182530062532E-2</v>
      </c>
      <c r="M205" s="255">
        <f t="shared" si="67"/>
        <v>-52308.030000000028</v>
      </c>
      <c r="N205" s="256">
        <f t="shared" si="62"/>
        <v>-0.13077007500000007</v>
      </c>
      <c r="O205" s="255" t="b">
        <f t="shared" si="68"/>
        <v>1</v>
      </c>
      <c r="P205" s="256">
        <f>COUNTIF(O$2:O205, TRUE)/(COUNTIF(O$2:O205,FALSE) + COUNTIF(O$2:O205, TRUE))</f>
        <v>0.49509803921568629</v>
      </c>
      <c r="Q205" s="254">
        <v>221341.46</v>
      </c>
      <c r="R205" s="254">
        <f t="shared" si="69"/>
        <v>126350.50999999998</v>
      </c>
      <c r="S205" s="254">
        <v>-62220.480000000003</v>
      </c>
      <c r="T205" s="254">
        <f t="shared" ref="T205:T236" si="74">M205-S205</f>
        <v>9912.4499999999753</v>
      </c>
      <c r="U205" s="256">
        <f>STDEV(D$2:D205)*SQRT(252)</f>
        <v>0.1770808372915795</v>
      </c>
      <c r="V205" s="256">
        <f>STDEV(L$2:L205)*SQRT(252)</f>
        <v>0.37770326655936998</v>
      </c>
      <c r="W205" s="255">
        <f t="shared" si="71"/>
        <v>-0.34622436864586859</v>
      </c>
    </row>
    <row r="206" spans="2:23" ht="20.100000000000001" customHeight="1" x14ac:dyDescent="0.25">
      <c r="B206" s="248">
        <v>42529</v>
      </c>
      <c r="C206" s="249">
        <v>2119.12</v>
      </c>
      <c r="D206" s="174">
        <f t="shared" si="70"/>
        <v>3.3094553839014555E-3</v>
      </c>
      <c r="E206" s="250">
        <f t="shared" si="63"/>
        <v>7.9336390099122144E-3</v>
      </c>
      <c r="F206" s="251">
        <v>4974.6400000000003</v>
      </c>
      <c r="G206" s="174">
        <f t="shared" si="64"/>
        <v>2.5978737340656677E-3</v>
      </c>
      <c r="H206" s="252">
        <f t="shared" si="65"/>
        <v>-2.2990356855274171E-2</v>
      </c>
      <c r="I206" s="253">
        <v>345415.56</v>
      </c>
      <c r="J206" s="254">
        <v>400000</v>
      </c>
      <c r="K206" s="254">
        <f t="shared" si="66"/>
        <v>-2276.4099999999744</v>
      </c>
      <c r="L206" s="174">
        <f t="shared" si="72"/>
        <v>-6.5472032615535372E-3</v>
      </c>
      <c r="M206" s="255">
        <f t="shared" si="67"/>
        <v>-54584.44</v>
      </c>
      <c r="N206" s="256">
        <f t="shared" si="62"/>
        <v>-0.1364611</v>
      </c>
      <c r="O206" s="255" t="b">
        <f t="shared" si="68"/>
        <v>0</v>
      </c>
      <c r="P206" s="256">
        <f>COUNTIF(O$2:O206, TRUE)/(COUNTIF(O$2:O206,FALSE) + COUNTIF(O$2:O206, TRUE))</f>
        <v>0.49268292682926829</v>
      </c>
      <c r="Q206" s="254">
        <v>224599.69</v>
      </c>
      <c r="R206" s="254">
        <f t="shared" si="69"/>
        <v>120815.87</v>
      </c>
      <c r="S206" s="254">
        <v>-64591.5</v>
      </c>
      <c r="T206" s="254">
        <f t="shared" si="74"/>
        <v>10007.059999999998</v>
      </c>
      <c r="U206" s="256">
        <f>STDEV(D$2:D206)*SQRT(252)</f>
        <v>0.1766804976423699</v>
      </c>
      <c r="V206" s="256">
        <f>STDEV(L$2:L206)*SQRT(252)</f>
        <v>0.37684312307903423</v>
      </c>
      <c r="W206" s="255">
        <f t="shared" si="71"/>
        <v>-0.36211646609079928</v>
      </c>
    </row>
    <row r="207" spans="2:23" ht="20.100000000000001" customHeight="1" x14ac:dyDescent="0.25">
      <c r="B207" s="248">
        <v>42530</v>
      </c>
      <c r="C207" s="249">
        <v>2115.48</v>
      </c>
      <c r="D207" s="174">
        <f t="shared" si="70"/>
        <v>-1.7176941371889619E-3</v>
      </c>
      <c r="E207" s="250">
        <f t="shared" si="63"/>
        <v>6.2023173075093528E-3</v>
      </c>
      <c r="F207" s="251">
        <v>4958.6099999999997</v>
      </c>
      <c r="G207" s="174">
        <f t="shared" si="64"/>
        <v>-3.2223437273854296E-3</v>
      </c>
      <c r="H207" s="252">
        <f t="shared" si="65"/>
        <v>-2.6138617750456655E-2</v>
      </c>
      <c r="I207" s="253">
        <v>343338.01</v>
      </c>
      <c r="J207" s="254">
        <v>400000</v>
      </c>
      <c r="K207" s="254">
        <f t="shared" si="66"/>
        <v>-2077.5499999999884</v>
      </c>
      <c r="L207" s="174">
        <f t="shared" si="72"/>
        <v>-6.0146392941881031E-3</v>
      </c>
      <c r="M207" s="255">
        <f t="shared" si="67"/>
        <v>-56661.989999999991</v>
      </c>
      <c r="N207" s="256">
        <f t="shared" si="62"/>
        <v>-0.14165497499999999</v>
      </c>
      <c r="O207" s="255" t="b">
        <f t="shared" si="68"/>
        <v>0</v>
      </c>
      <c r="P207" s="256">
        <f>COUNTIF(O$2:O207, TRUE)/(COUNTIF(O$2:O207,FALSE) + COUNTIF(O$2:O207, TRUE))</f>
        <v>0.49029126213592233</v>
      </c>
      <c r="Q207" s="254">
        <v>224600.69</v>
      </c>
      <c r="R207" s="254">
        <f t="shared" si="69"/>
        <v>118737.32</v>
      </c>
      <c r="S207" s="254">
        <v>-66856.5</v>
      </c>
      <c r="T207" s="254">
        <f t="shared" si="74"/>
        <v>10194.510000000009</v>
      </c>
      <c r="U207" s="256">
        <f>STDEV(D$2:D207)*SQRT(252)</f>
        <v>0.17625845275295093</v>
      </c>
      <c r="V207" s="256">
        <f>STDEV(L$2:L207)*SQRT(252)</f>
        <v>0.37597781518957712</v>
      </c>
      <c r="W207" s="255">
        <f t="shared" si="71"/>
        <v>-0.37676418468620049</v>
      </c>
    </row>
    <row r="208" spans="2:23" ht="20.100000000000001" customHeight="1" x14ac:dyDescent="0.25">
      <c r="B208" s="248">
        <v>42531</v>
      </c>
      <c r="C208" s="249">
        <v>2096.0700000000002</v>
      </c>
      <c r="D208" s="174">
        <f t="shared" si="70"/>
        <v>-9.1752226445061431E-3</v>
      </c>
      <c r="E208" s="250">
        <f t="shared" si="63"/>
        <v>-3.0298129792050619E-3</v>
      </c>
      <c r="F208" s="251">
        <v>4894.54</v>
      </c>
      <c r="G208" s="174">
        <f t="shared" si="64"/>
        <v>-1.2920959704433242E-2</v>
      </c>
      <c r="H208" s="252">
        <f t="shared" si="65"/>
        <v>-3.8721841428206664E-2</v>
      </c>
      <c r="I208" s="253">
        <v>332939.06</v>
      </c>
      <c r="J208" s="254">
        <v>400000</v>
      </c>
      <c r="K208" s="254">
        <f t="shared" si="66"/>
        <v>-10398.950000000012</v>
      </c>
      <c r="L208" s="174">
        <f t="shared" si="72"/>
        <v>-3.0287791322609493E-2</v>
      </c>
      <c r="M208" s="255">
        <f t="shared" si="67"/>
        <v>-67060.94</v>
      </c>
      <c r="N208" s="256">
        <f t="shared" si="62"/>
        <v>-0.16765235000000001</v>
      </c>
      <c r="O208" s="255" t="b">
        <f t="shared" si="68"/>
        <v>0</v>
      </c>
      <c r="P208" s="256">
        <f>COUNTIF(O$2:O208, TRUE)/(COUNTIF(O$2:O208,FALSE) + COUNTIF(O$2:O208, TRUE))</f>
        <v>0.48792270531400966</v>
      </c>
      <c r="Q208" s="254">
        <v>258667.11</v>
      </c>
      <c r="R208" s="254">
        <f t="shared" si="69"/>
        <v>74271.950000000012</v>
      </c>
      <c r="S208" s="254">
        <v>-76706.92</v>
      </c>
      <c r="T208" s="254">
        <f t="shared" si="74"/>
        <v>9645.9799999999959</v>
      </c>
      <c r="U208" s="256">
        <f>STDEV(D$2:D208)*SQRT(252)</f>
        <v>0.17612650252391751</v>
      </c>
      <c r="V208" s="256">
        <f>STDEV(L$2:L208)*SQRT(252)</f>
        <v>0.37655142178170292</v>
      </c>
      <c r="W208" s="255">
        <f t="shared" si="71"/>
        <v>-0.44523095731980167</v>
      </c>
    </row>
    <row r="209" spans="2:23" ht="20.100000000000001" customHeight="1" x14ac:dyDescent="0.25">
      <c r="B209" s="175">
        <v>42534</v>
      </c>
      <c r="C209" s="219">
        <v>2079.06</v>
      </c>
      <c r="D209" s="174">
        <f t="shared" si="70"/>
        <v>-8.1151869928009161E-3</v>
      </c>
      <c r="E209" s="213">
        <f t="shared" si="63"/>
        <v>-1.1120412473126515E-2</v>
      </c>
      <c r="F209" s="223">
        <v>4848.4399999999996</v>
      </c>
      <c r="G209" s="174">
        <f t="shared" si="64"/>
        <v>-9.4186583417441398E-3</v>
      </c>
      <c r="H209" s="207">
        <f t="shared" si="65"/>
        <v>-4.7775791975175327E-2</v>
      </c>
      <c r="I209" s="225">
        <v>329797.69</v>
      </c>
      <c r="J209" s="176">
        <v>400000</v>
      </c>
      <c r="K209" s="176">
        <f t="shared" si="66"/>
        <v>-3141.3699999999953</v>
      </c>
      <c r="L209" s="174">
        <f t="shared" si="72"/>
        <v>-9.4352702263290934E-3</v>
      </c>
      <c r="M209" s="186">
        <f t="shared" si="67"/>
        <v>-70202.31</v>
      </c>
      <c r="N209" s="188">
        <f t="shared" si="62"/>
        <v>-0.175505775</v>
      </c>
      <c r="O209" s="186" t="b">
        <f t="shared" si="68"/>
        <v>0</v>
      </c>
      <c r="P209" s="188">
        <f>COUNTIF(O$2:O209, TRUE)/(COUNTIF(O$2:O209,FALSE) + COUNTIF(O$2:O209, TRUE))</f>
        <v>0.48557692307692307</v>
      </c>
      <c r="Q209" s="176">
        <v>255528.93</v>
      </c>
      <c r="R209" s="176">
        <f t="shared" si="69"/>
        <v>74268.760000000009</v>
      </c>
      <c r="S209" s="176">
        <v>-78829.440000000002</v>
      </c>
      <c r="T209" s="176">
        <f t="shared" si="74"/>
        <v>8627.1300000000047</v>
      </c>
      <c r="U209" s="188">
        <f>STDEV(D$2:D209)*SQRT(252)</f>
        <v>0.17592912166326158</v>
      </c>
      <c r="V209" s="188">
        <f>STDEV(L$2:L209)*SQRT(252)</f>
        <v>0.3757757250288794</v>
      </c>
      <c r="W209" s="186">
        <f t="shared" si="71"/>
        <v>-0.4670492618609462</v>
      </c>
    </row>
    <row r="210" spans="2:23" ht="20.100000000000001" customHeight="1" x14ac:dyDescent="0.25">
      <c r="B210" s="175">
        <v>42535</v>
      </c>
      <c r="C210" s="219">
        <v>2075.3200000000002</v>
      </c>
      <c r="D210" s="174">
        <f t="shared" si="70"/>
        <v>-1.7988898829277566E-3</v>
      </c>
      <c r="E210" s="213">
        <f t="shared" si="63"/>
        <v>-1.2899297958562379E-2</v>
      </c>
      <c r="F210" s="223">
        <v>4843.55</v>
      </c>
      <c r="G210" s="174">
        <f t="shared" si="64"/>
        <v>-1.0085718292893008E-3</v>
      </c>
      <c r="H210" s="207">
        <f t="shared" si="65"/>
        <v>-4.8736178486556481E-2</v>
      </c>
      <c r="I210" s="225">
        <v>327192.19</v>
      </c>
      <c r="J210" s="176">
        <v>400000</v>
      </c>
      <c r="K210" s="176">
        <f t="shared" si="66"/>
        <v>-2605.5</v>
      </c>
      <c r="L210" s="174">
        <f t="shared" si="72"/>
        <v>-7.9002979068773949E-3</v>
      </c>
      <c r="M210" s="186">
        <f t="shared" si="67"/>
        <v>-72807.81</v>
      </c>
      <c r="N210" s="188">
        <f t="shared" si="62"/>
        <v>-0.18201952499999999</v>
      </c>
      <c r="O210" s="186" t="b">
        <f t="shared" si="68"/>
        <v>0</v>
      </c>
      <c r="P210" s="188">
        <f>COUNTIF(O$2:O210, TRUE)/(COUNTIF(O$2:O210,FALSE) + COUNTIF(O$2:O210, TRUE))</f>
        <v>0.48325358851674644</v>
      </c>
      <c r="Q210" s="176">
        <v>272585.19</v>
      </c>
      <c r="R210" s="176">
        <f t="shared" si="69"/>
        <v>54607</v>
      </c>
      <c r="S210" s="176">
        <v>-80356</v>
      </c>
      <c r="T210" s="176">
        <f t="shared" si="74"/>
        <v>7548.1900000000023</v>
      </c>
      <c r="U210" s="188">
        <f>STDEV(D$2:D210)*SQRT(252)</f>
        <v>0.17551491583407813</v>
      </c>
      <c r="V210" s="188">
        <f>STDEV(L$2:L210)*SQRT(252)</f>
        <v>0.37496263559037396</v>
      </c>
      <c r="W210" s="186">
        <f t="shared" si="71"/>
        <v>-0.48543376785639597</v>
      </c>
    </row>
    <row r="211" spans="2:23" ht="20.100000000000001" customHeight="1" x14ac:dyDescent="0.25">
      <c r="B211" s="175">
        <v>42536</v>
      </c>
      <c r="C211" s="219">
        <v>2071.5</v>
      </c>
      <c r="D211" s="174">
        <f t="shared" si="70"/>
        <v>-1.8406799915194588E-3</v>
      </c>
      <c r="E211" s="213">
        <f t="shared" si="63"/>
        <v>-1.4716234470424866E-2</v>
      </c>
      <c r="F211" s="223">
        <v>4834.93</v>
      </c>
      <c r="G211" s="174">
        <f t="shared" si="64"/>
        <v>-1.7796863870507976E-3</v>
      </c>
      <c r="H211" s="207">
        <f t="shared" si="65"/>
        <v>-5.042912976019788E-2</v>
      </c>
      <c r="I211" s="225">
        <v>325610.21000000002</v>
      </c>
      <c r="J211" s="176">
        <v>400000</v>
      </c>
      <c r="K211" s="176">
        <f t="shared" si="66"/>
        <v>-1581.9799999999814</v>
      </c>
      <c r="L211" s="174">
        <f t="shared" si="72"/>
        <v>-4.8350176084581403E-3</v>
      </c>
      <c r="M211" s="186">
        <f t="shared" si="67"/>
        <v>-74389.789999999979</v>
      </c>
      <c r="N211" s="188">
        <f t="shared" si="62"/>
        <v>-0.18597447499999994</v>
      </c>
      <c r="O211" s="186" t="b">
        <f t="shared" si="68"/>
        <v>0</v>
      </c>
      <c r="P211" s="188">
        <f>COUNTIF(O$2:O211, TRUE)/(COUNTIF(O$2:O211,FALSE) + COUNTIF(O$2:O211, TRUE))</f>
        <v>0.48095238095238096</v>
      </c>
      <c r="Q211" s="176">
        <v>269122.73</v>
      </c>
      <c r="R211" s="176">
        <f t="shared" si="69"/>
        <v>56487.48000000004</v>
      </c>
      <c r="S211" s="176">
        <v>-82018</v>
      </c>
      <c r="T211" s="176">
        <f t="shared" si="74"/>
        <v>7628.210000000021</v>
      </c>
      <c r="U211" s="188">
        <f>STDEV(D$2:D211)*SQRT(252)</f>
        <v>0.17510414280535444</v>
      </c>
      <c r="V211" s="188">
        <f>STDEV(L$2:L211)*SQRT(252)</f>
        <v>0.37409419523712373</v>
      </c>
      <c r="W211" s="186">
        <f t="shared" si="71"/>
        <v>-0.49713274722725376</v>
      </c>
    </row>
    <row r="212" spans="2:23" ht="20.100000000000001" customHeight="1" x14ac:dyDescent="0.25">
      <c r="B212" s="175">
        <v>42537</v>
      </c>
      <c r="C212" s="219">
        <v>2077.9899999999998</v>
      </c>
      <c r="D212" s="174">
        <f t="shared" si="70"/>
        <v>3.1329954139511377E-3</v>
      </c>
      <c r="E212" s="213">
        <f t="shared" si="63"/>
        <v>-1.1629344951580198E-2</v>
      </c>
      <c r="F212" s="223">
        <v>4844.91</v>
      </c>
      <c r="G212" s="174">
        <f t="shared" si="64"/>
        <v>2.0641457063493292E-3</v>
      </c>
      <c r="H212" s="207">
        <f t="shared" si="65"/>
        <v>-4.8469077125517991E-2</v>
      </c>
      <c r="I212" s="225">
        <v>321688.28999999998</v>
      </c>
      <c r="J212" s="176">
        <v>400000</v>
      </c>
      <c r="K212" s="176">
        <f t="shared" si="66"/>
        <v>-3921.9200000000419</v>
      </c>
      <c r="L212" s="174">
        <f t="shared" si="72"/>
        <v>-1.2044831149490188E-2</v>
      </c>
      <c r="M212" s="186">
        <f t="shared" si="67"/>
        <v>-78311.710000000021</v>
      </c>
      <c r="N212" s="188">
        <f t="shared" si="62"/>
        <v>-0.19577927500000006</v>
      </c>
      <c r="O212" s="186" t="b">
        <f t="shared" si="68"/>
        <v>0</v>
      </c>
      <c r="P212" s="188">
        <f>COUNTIF(O$2:O212, TRUE)/(COUNTIF(O$2:O212,FALSE) + COUNTIF(O$2:O212, TRUE))</f>
        <v>0.47867298578199052</v>
      </c>
      <c r="Q212" s="176">
        <v>270659.01</v>
      </c>
      <c r="R212" s="176">
        <f t="shared" si="69"/>
        <v>51029.27999999997</v>
      </c>
      <c r="S212" s="176">
        <v>-85365</v>
      </c>
      <c r="T212" s="176">
        <f t="shared" si="74"/>
        <v>7053.289999999979</v>
      </c>
      <c r="U212" s="188">
        <f>STDEV(D$2:D212)*SQRT(252)</f>
        <v>0.17471866463196331</v>
      </c>
      <c r="V212" s="188">
        <f>STDEV(L$2:L212)*SQRT(252)</f>
        <v>0.37342122618774559</v>
      </c>
      <c r="W212" s="186">
        <f t="shared" si="71"/>
        <v>-0.52428534124508441</v>
      </c>
    </row>
    <row r="213" spans="2:23" ht="20.100000000000001" customHeight="1" x14ac:dyDescent="0.25">
      <c r="B213" s="175">
        <v>42538</v>
      </c>
      <c r="C213" s="219">
        <v>2071.2199999999998</v>
      </c>
      <c r="D213" s="174">
        <f t="shared" si="70"/>
        <v>-3.2579560055630598E-3</v>
      </c>
      <c r="E213" s="213">
        <f t="shared" si="63"/>
        <v>-1.4849413062917493E-2</v>
      </c>
      <c r="F213" s="223">
        <v>4800.34</v>
      </c>
      <c r="G213" s="174">
        <f t="shared" si="64"/>
        <v>-9.1993452922757516E-3</v>
      </c>
      <c r="H213" s="207">
        <f t="shared" si="65"/>
        <v>-5.7222538641318162E-2</v>
      </c>
      <c r="I213" s="225">
        <v>328584.48</v>
      </c>
      <c r="J213" s="176">
        <v>400000</v>
      </c>
      <c r="K213" s="176">
        <f t="shared" si="66"/>
        <v>6896.1900000000023</v>
      </c>
      <c r="L213" s="174">
        <f t="shared" si="72"/>
        <v>2.1437491554324228E-2</v>
      </c>
      <c r="M213" s="186">
        <f t="shared" si="67"/>
        <v>-71415.520000000019</v>
      </c>
      <c r="N213" s="188">
        <f t="shared" si="62"/>
        <v>-0.17853880000000005</v>
      </c>
      <c r="O213" s="186" t="b">
        <f t="shared" si="68"/>
        <v>1</v>
      </c>
      <c r="P213" s="188">
        <f>COUNTIF(O$2:O213, TRUE)/(COUNTIF(O$2:O213,FALSE) + COUNTIF(O$2:O213, TRUE))</f>
        <v>0.48113207547169812</v>
      </c>
      <c r="Q213" s="176">
        <v>269293.38</v>
      </c>
      <c r="R213" s="176">
        <f t="shared" si="69"/>
        <v>59291.099999999977</v>
      </c>
      <c r="S213" s="176">
        <v>-78578</v>
      </c>
      <c r="T213" s="176">
        <f t="shared" si="74"/>
        <v>7162.4799999999814</v>
      </c>
      <c r="U213" s="188">
        <f>STDEV(D$2:D213)*SQRT(252)</f>
        <v>0.1743386358196137</v>
      </c>
      <c r="V213" s="188">
        <f>STDEV(L$2:L213)*SQRT(252)</f>
        <v>0.37328913049687473</v>
      </c>
      <c r="W213" s="186">
        <f t="shared" si="71"/>
        <v>-0.47828555779899629</v>
      </c>
    </row>
    <row r="214" spans="2:23" ht="20.100000000000001" customHeight="1" x14ac:dyDescent="0.25">
      <c r="B214" s="248">
        <v>42541</v>
      </c>
      <c r="C214" s="249">
        <v>2083.25</v>
      </c>
      <c r="D214" s="174">
        <f t="shared" si="70"/>
        <v>5.808171029634805E-3</v>
      </c>
      <c r="E214" s="250">
        <f t="shared" si="63"/>
        <v>-9.1274899640418055E-3</v>
      </c>
      <c r="F214" s="251">
        <v>4837.21</v>
      </c>
      <c r="G214" s="174">
        <f t="shared" si="64"/>
        <v>7.6807059499951853E-3</v>
      </c>
      <c r="H214" s="252">
        <f t="shared" si="65"/>
        <v>-4.9981342184339181E-2</v>
      </c>
      <c r="I214" s="253">
        <v>341742.75</v>
      </c>
      <c r="J214" s="254">
        <v>400000</v>
      </c>
      <c r="K214" s="254">
        <f t="shared" si="66"/>
        <v>13158.270000000019</v>
      </c>
      <c r="L214" s="174">
        <f t="shared" si="72"/>
        <v>4.0045318025976211E-2</v>
      </c>
      <c r="M214" s="255">
        <f t="shared" si="67"/>
        <v>-58257.25</v>
      </c>
      <c r="N214" s="256">
        <f t="shared" si="62"/>
        <v>-0.14564312500000001</v>
      </c>
      <c r="O214" s="255" t="b">
        <f t="shared" si="68"/>
        <v>1</v>
      </c>
      <c r="P214" s="256">
        <f>COUNTIF(O$2:O214, TRUE)/(COUNTIF(O$2:O214,FALSE) + COUNTIF(O$2:O214, TRUE))</f>
        <v>0.48356807511737088</v>
      </c>
      <c r="Q214" s="254">
        <v>253651.64</v>
      </c>
      <c r="R214" s="254">
        <f t="shared" si="69"/>
        <v>88091.109999999986</v>
      </c>
      <c r="S214" s="254">
        <v>-65989</v>
      </c>
      <c r="T214" s="254">
        <f t="shared" si="74"/>
        <v>7731.75</v>
      </c>
      <c r="U214" s="256">
        <f>STDEV(D$2:D214)*SQRT(252)</f>
        <v>0.1740406908760673</v>
      </c>
      <c r="V214" s="256">
        <f>STDEV(L$2:L214)*SQRT(252)</f>
        <v>0.37498171296802196</v>
      </c>
      <c r="W214" s="255">
        <f t="shared" si="71"/>
        <v>-0.38840060718486369</v>
      </c>
    </row>
    <row r="215" spans="2:23" ht="20.100000000000001" customHeight="1" x14ac:dyDescent="0.25">
      <c r="B215" s="248">
        <v>42542</v>
      </c>
      <c r="C215" s="249">
        <v>2088.9</v>
      </c>
      <c r="D215" s="174">
        <f t="shared" si="70"/>
        <v>2.7121084843394171E-3</v>
      </c>
      <c r="E215" s="250">
        <f t="shared" si="63"/>
        <v>-6.4401362226745888E-3</v>
      </c>
      <c r="F215" s="251">
        <v>4843.76</v>
      </c>
      <c r="G215" s="174">
        <f t="shared" si="64"/>
        <v>1.3540863431606611E-3</v>
      </c>
      <c r="H215" s="252">
        <f t="shared" si="65"/>
        <v>-4.8694934894043168E-2</v>
      </c>
      <c r="I215" s="253">
        <v>348811.35</v>
      </c>
      <c r="J215" s="254">
        <v>400000</v>
      </c>
      <c r="K215" s="254">
        <f t="shared" si="66"/>
        <v>7068.5999999999767</v>
      </c>
      <c r="L215" s="174">
        <f t="shared" si="72"/>
        <v>2.0683979396783039E-2</v>
      </c>
      <c r="M215" s="255">
        <f t="shared" si="67"/>
        <v>-51188.650000000023</v>
      </c>
      <c r="N215" s="256">
        <f t="shared" si="62"/>
        <v>-0.12797162500000006</v>
      </c>
      <c r="O215" s="255" t="b">
        <f t="shared" si="68"/>
        <v>1</v>
      </c>
      <c r="P215" s="256">
        <f>COUNTIF(O$2:O215, TRUE)/(COUNTIF(O$2:O215,FALSE) + COUNTIF(O$2:O215, TRUE))</f>
        <v>0.48598130841121495</v>
      </c>
      <c r="Q215" s="254">
        <v>239827.20000000001</v>
      </c>
      <c r="R215" s="254">
        <f t="shared" si="69"/>
        <v>108984.14999999997</v>
      </c>
      <c r="S215" s="254">
        <v>-59378</v>
      </c>
      <c r="T215" s="254">
        <f t="shared" si="74"/>
        <v>8189.3499999999767</v>
      </c>
      <c r="U215" s="256">
        <f>STDEV(D$2:D215)*SQRT(252)</f>
        <v>0.17365448408627729</v>
      </c>
      <c r="V215" s="256">
        <f>STDEV(L$2:L215)*SQRT(252)</f>
        <v>0.37477394701034494</v>
      </c>
      <c r="W215" s="255">
        <f t="shared" si="71"/>
        <v>-0.34146350358891847</v>
      </c>
    </row>
    <row r="216" spans="2:23" ht="20.100000000000001" customHeight="1" x14ac:dyDescent="0.25">
      <c r="B216" s="248">
        <v>42543</v>
      </c>
      <c r="C216" s="249">
        <v>2085.4499999999998</v>
      </c>
      <c r="D216" s="174">
        <f t="shared" si="70"/>
        <v>-1.6515869596439622E-3</v>
      </c>
      <c r="E216" s="250">
        <f t="shared" si="63"/>
        <v>-8.081086737314851E-3</v>
      </c>
      <c r="F216" s="251">
        <v>4833.3100000000004</v>
      </c>
      <c r="G216" s="174">
        <f t="shared" si="64"/>
        <v>-2.1574149008208123E-3</v>
      </c>
      <c r="H216" s="252">
        <f t="shared" si="65"/>
        <v>-5.0747294616729076E-2</v>
      </c>
      <c r="I216" s="253">
        <v>345838.5</v>
      </c>
      <c r="J216" s="254">
        <v>400000</v>
      </c>
      <c r="K216" s="254">
        <f t="shared" si="66"/>
        <v>-2972.8499999999767</v>
      </c>
      <c r="L216" s="174">
        <f t="shared" si="72"/>
        <v>-8.5228017952970192E-3</v>
      </c>
      <c r="M216" s="255">
        <f t="shared" si="67"/>
        <v>-54161.5</v>
      </c>
      <c r="N216" s="256">
        <f t="shared" si="62"/>
        <v>-0.13540374999999999</v>
      </c>
      <c r="O216" s="255" t="b">
        <f t="shared" si="68"/>
        <v>0</v>
      </c>
      <c r="P216" s="256">
        <f>COUNTIF(O$2:O216, TRUE)/(COUNTIF(O$2:O216,FALSE) + COUNTIF(O$2:O216, TRUE))</f>
        <v>0.48372093023255813</v>
      </c>
      <c r="Q216" s="254">
        <v>250911.65</v>
      </c>
      <c r="R216" s="254">
        <f t="shared" si="69"/>
        <v>94926.85</v>
      </c>
      <c r="S216" s="254">
        <v>-62340</v>
      </c>
      <c r="T216" s="254">
        <f t="shared" si="74"/>
        <v>8178.5</v>
      </c>
      <c r="U216" s="256">
        <f>STDEV(D$2:D216)*SQRT(252)</f>
        <v>0.17325596668423277</v>
      </c>
      <c r="V216" s="256">
        <f>STDEV(L$2:L216)*SQRT(252)</f>
        <v>0.37400942044017926</v>
      </c>
      <c r="W216" s="255">
        <f t="shared" si="71"/>
        <v>-0.36203299328835242</v>
      </c>
    </row>
    <row r="217" spans="2:23" ht="20.100000000000001" customHeight="1" x14ac:dyDescent="0.25">
      <c r="B217" s="248">
        <v>42544</v>
      </c>
      <c r="C217" s="249">
        <v>2113.3200000000002</v>
      </c>
      <c r="D217" s="174">
        <f t="shared" si="70"/>
        <v>1.3364022153492219E-2</v>
      </c>
      <c r="E217" s="250">
        <f t="shared" si="63"/>
        <v>5.1749395939956E-3</v>
      </c>
      <c r="F217" s="251">
        <v>4910.04</v>
      </c>
      <c r="G217" s="174">
        <f t="shared" si="64"/>
        <v>1.5875249052926369E-2</v>
      </c>
      <c r="H217" s="252">
        <f t="shared" si="65"/>
        <v>-3.5677671504605504E-2</v>
      </c>
      <c r="I217" s="253">
        <v>355595.65</v>
      </c>
      <c r="J217" s="254">
        <v>400000</v>
      </c>
      <c r="K217" s="254">
        <f t="shared" si="66"/>
        <v>9757.1500000000233</v>
      </c>
      <c r="L217" s="174">
        <f t="shared" si="72"/>
        <v>2.8213024287348065E-2</v>
      </c>
      <c r="M217" s="255">
        <f t="shared" si="67"/>
        <v>-44404.349999999977</v>
      </c>
      <c r="N217" s="256">
        <f t="shared" si="62"/>
        <v>-0.11101087499999994</v>
      </c>
      <c r="O217" s="255" t="b">
        <f t="shared" si="68"/>
        <v>1</v>
      </c>
      <c r="P217" s="256">
        <f>COUNTIF(O$2:O217, TRUE)/(COUNTIF(O$2:O217,FALSE) + COUNTIF(O$2:O217, TRUE))</f>
        <v>0.4861111111111111</v>
      </c>
      <c r="Q217" s="254">
        <v>222188.6</v>
      </c>
      <c r="R217" s="254">
        <f t="shared" si="69"/>
        <v>133407.05000000002</v>
      </c>
      <c r="S217" s="254">
        <v>-52883</v>
      </c>
      <c r="T217" s="254">
        <f t="shared" si="74"/>
        <v>8478.6500000000233</v>
      </c>
      <c r="U217" s="256">
        <f>STDEV(D$2:D217)*SQRT(252)</f>
        <v>0.17345322733352617</v>
      </c>
      <c r="V217" s="256">
        <f>STDEV(L$2:L217)*SQRT(252)</f>
        <v>0.37437996728891731</v>
      </c>
      <c r="W217" s="255">
        <f t="shared" si="71"/>
        <v>-0.29651927106006287</v>
      </c>
    </row>
    <row r="218" spans="2:23" ht="20.100000000000001" customHeight="1" x14ac:dyDescent="0.25">
      <c r="B218" s="248">
        <v>42545</v>
      </c>
      <c r="C218" s="249">
        <v>2037.3</v>
      </c>
      <c r="D218" s="174">
        <f t="shared" si="70"/>
        <v>-3.5971835784452996E-2</v>
      </c>
      <c r="E218" s="250">
        <f t="shared" si="63"/>
        <v>-3.0983048267727069E-2</v>
      </c>
      <c r="F218" s="251">
        <v>4707.9799999999996</v>
      </c>
      <c r="G218" s="174">
        <f t="shared" si="64"/>
        <v>-4.1152414236951311E-2</v>
      </c>
      <c r="H218" s="252">
        <f t="shared" si="65"/>
        <v>-7.5361863424789413E-2</v>
      </c>
      <c r="I218" s="253">
        <v>344597.21</v>
      </c>
      <c r="J218" s="254">
        <v>400000</v>
      </c>
      <c r="K218" s="254">
        <f t="shared" si="66"/>
        <v>-10998.440000000002</v>
      </c>
      <c r="L218" s="174">
        <f t="shared" si="72"/>
        <v>-3.092962470153952E-2</v>
      </c>
      <c r="M218" s="255">
        <f t="shared" si="67"/>
        <v>-55402.789999999979</v>
      </c>
      <c r="N218" s="256">
        <f t="shared" si="62"/>
        <v>-0.13850697499999995</v>
      </c>
      <c r="O218" s="255" t="b">
        <f t="shared" si="68"/>
        <v>1</v>
      </c>
      <c r="P218" s="256">
        <f>COUNTIF(O$2:O218, TRUE)/(COUNTIF(O$2:O218,FALSE) + COUNTIF(O$2:O218, TRUE))</f>
        <v>0.48847926267281105</v>
      </c>
      <c r="Q218" s="254">
        <v>292212.87</v>
      </c>
      <c r="R218" s="254">
        <f t="shared" si="69"/>
        <v>52384.340000000026</v>
      </c>
      <c r="S218" s="254">
        <v>-60319</v>
      </c>
      <c r="T218" s="254">
        <f t="shared" si="74"/>
        <v>4916.210000000021</v>
      </c>
      <c r="U218" s="256">
        <f>STDEV(D$2:D218)*SQRT(252)</f>
        <v>0.17737738991567559</v>
      </c>
      <c r="V218" s="256">
        <f>STDEV(L$2:L218)*SQRT(252)</f>
        <v>0.37501491948250398</v>
      </c>
      <c r="W218" s="255">
        <f t="shared" si="71"/>
        <v>-0.36933723914539318</v>
      </c>
    </row>
    <row r="219" spans="2:23" ht="20.100000000000001" customHeight="1" x14ac:dyDescent="0.25">
      <c r="B219" s="175">
        <v>42548</v>
      </c>
      <c r="C219" s="219">
        <v>2000.54</v>
      </c>
      <c r="D219" s="174">
        <f t="shared" si="70"/>
        <v>-1.8043488931428847E-2</v>
      </c>
      <c r="E219" s="213">
        <f t="shared" si="63"/>
        <v>-4.8467494910675257E-2</v>
      </c>
      <c r="F219" s="223">
        <v>4594.4399999999996</v>
      </c>
      <c r="G219" s="174">
        <f t="shared" si="64"/>
        <v>-2.4116500070093749E-2</v>
      </c>
      <c r="H219" s="207">
        <f t="shared" si="65"/>
        <v>-9.7660899110316834E-2</v>
      </c>
      <c r="I219" s="225">
        <v>328090.52</v>
      </c>
      <c r="J219" s="176">
        <v>400000</v>
      </c>
      <c r="K219" s="176">
        <f t="shared" si="66"/>
        <v>-16506.690000000002</v>
      </c>
      <c r="L219" s="174">
        <f t="shared" si="72"/>
        <v>-4.7901403496563424E-2</v>
      </c>
      <c r="M219" s="186">
        <f t="shared" si="67"/>
        <v>-71909.479999999981</v>
      </c>
      <c r="N219" s="188">
        <f t="shared" si="62"/>
        <v>-0.17977369999999995</v>
      </c>
      <c r="O219" s="186" t="b">
        <f t="shared" si="68"/>
        <v>0</v>
      </c>
      <c r="P219" s="188">
        <f>COUNTIF(O$2:O219, TRUE)/(COUNTIF(O$2:O219,FALSE) + COUNTIF(O$2:O219, TRUE))</f>
        <v>0.48623853211009177</v>
      </c>
      <c r="Q219" s="176">
        <v>330827.23</v>
      </c>
      <c r="R219" s="176">
        <f t="shared" si="69"/>
        <v>-2736.7099999999627</v>
      </c>
      <c r="S219" s="176">
        <v>-73004</v>
      </c>
      <c r="T219" s="176">
        <f t="shared" si="74"/>
        <v>1094.5200000000186</v>
      </c>
      <c r="U219" s="188">
        <f>STDEV(D$2:D219)*SQRT(252)</f>
        <v>0.17802153758815042</v>
      </c>
      <c r="V219" s="188">
        <f>STDEV(L$2:L219)*SQRT(252)</f>
        <v>0.37769251793384978</v>
      </c>
      <c r="W219" s="186">
        <f t="shared" si="71"/>
        <v>-0.47597898148325529</v>
      </c>
    </row>
    <row r="220" spans="2:23" ht="20.100000000000001" customHeight="1" x14ac:dyDescent="0.25">
      <c r="B220" s="175">
        <v>42549</v>
      </c>
      <c r="C220" s="219">
        <v>2036.09</v>
      </c>
      <c r="D220" s="174">
        <f t="shared" si="70"/>
        <v>1.7770202045447707E-2</v>
      </c>
      <c r="E220" s="213">
        <f t="shared" si="63"/>
        <v>-3.1558570042426959E-2</v>
      </c>
      <c r="F220" s="223">
        <v>4691.8599999999997</v>
      </c>
      <c r="G220" s="174">
        <f t="shared" si="64"/>
        <v>2.1203889919119649E-2</v>
      </c>
      <c r="H220" s="207">
        <f t="shared" si="65"/>
        <v>-7.85278001453346E-2</v>
      </c>
      <c r="I220" s="225">
        <v>347315.97</v>
      </c>
      <c r="J220" s="176">
        <v>400000</v>
      </c>
      <c r="K220" s="176">
        <f t="shared" si="66"/>
        <v>19225.449999999953</v>
      </c>
      <c r="L220" s="174">
        <f t="shared" ref="L220:L247" si="75">K220/I219</f>
        <v>5.8598005209050091E-2</v>
      </c>
      <c r="M220" s="186">
        <f t="shared" si="67"/>
        <v>-52684.030000000028</v>
      </c>
      <c r="N220" s="188">
        <f t="shared" si="62"/>
        <v>-0.13171007500000007</v>
      </c>
      <c r="O220" s="186" t="b">
        <f t="shared" si="68"/>
        <v>1</v>
      </c>
      <c r="P220" s="188">
        <f>COUNTIF(O$2:O220, TRUE)/(COUNTIF(O$2:O220,FALSE) + COUNTIF(O$2:O220, TRUE))</f>
        <v>0.48858447488584472</v>
      </c>
      <c r="Q220" s="176">
        <v>324005.03999999998</v>
      </c>
      <c r="R220" s="176">
        <f t="shared" si="69"/>
        <v>23310.929999999993</v>
      </c>
      <c r="S220" s="176">
        <v>-57120</v>
      </c>
      <c r="T220" s="176">
        <f t="shared" si="74"/>
        <v>4435.9699999999721</v>
      </c>
      <c r="U220" s="188">
        <f>STDEV(D$2:D220)*SQRT(252)</f>
        <v>0.17865473175577545</v>
      </c>
      <c r="V220" s="188">
        <f>STDEV(L$2:L220)*SQRT(252)</f>
        <v>0.38208789279178124</v>
      </c>
      <c r="W220" s="186">
        <f t="shared" si="71"/>
        <v>-0.34471145902488842</v>
      </c>
    </row>
    <row r="221" spans="2:23" ht="20.100000000000001" customHeight="1" x14ac:dyDescent="0.25">
      <c r="B221" s="175">
        <v>42550</v>
      </c>
      <c r="C221" s="219">
        <v>2070.77</v>
      </c>
      <c r="D221" s="174">
        <f t="shared" si="70"/>
        <v>1.7032645904650614E-2</v>
      </c>
      <c r="E221" s="213">
        <f t="shared" si="63"/>
        <v>-1.506345008656612E-2</v>
      </c>
      <c r="F221" s="223">
        <v>4779.24</v>
      </c>
      <c r="G221" s="174">
        <f t="shared" si="64"/>
        <v>1.8623744101486428E-2</v>
      </c>
      <c r="H221" s="207">
        <f t="shared" si="65"/>
        <v>-6.1366537698607546E-2</v>
      </c>
      <c r="I221" s="225">
        <v>354799.59</v>
      </c>
      <c r="J221" s="176">
        <v>400000</v>
      </c>
      <c r="K221" s="176">
        <f t="shared" si="66"/>
        <v>7483.6200000000536</v>
      </c>
      <c r="L221" s="174">
        <f t="shared" si="75"/>
        <v>2.154700804572866E-2</v>
      </c>
      <c r="M221" s="186">
        <f t="shared" si="67"/>
        <v>-45200.409999999974</v>
      </c>
      <c r="N221" s="188">
        <f t="shared" si="62"/>
        <v>-0.11300102499999994</v>
      </c>
      <c r="O221" s="186" t="b">
        <f t="shared" si="68"/>
        <v>1</v>
      </c>
      <c r="P221" s="188">
        <f>COUNTIF(O$2:O221, TRUE)/(COUNTIF(O$2:O221,FALSE) + COUNTIF(O$2:O221, TRUE))</f>
        <v>0.49090909090909091</v>
      </c>
      <c r="Q221" s="176">
        <v>321658.87</v>
      </c>
      <c r="R221" s="176">
        <f t="shared" si="69"/>
        <v>33140.72000000003</v>
      </c>
      <c r="S221" s="176">
        <v>-52035</v>
      </c>
      <c r="T221" s="176">
        <f t="shared" si="74"/>
        <v>6834.5900000000256</v>
      </c>
      <c r="U221" s="188">
        <f>STDEV(D$2:D221)*SQRT(252)</f>
        <v>0.17918768492627107</v>
      </c>
      <c r="V221" s="188">
        <f>STDEV(L$2:L221)*SQRT(252)</f>
        <v>0.38190631702856759</v>
      </c>
      <c r="W221" s="186">
        <f t="shared" si="71"/>
        <v>-0.29588676584144369</v>
      </c>
    </row>
    <row r="222" spans="2:23" ht="20.100000000000001" customHeight="1" x14ac:dyDescent="0.25">
      <c r="B222" s="175">
        <v>42551</v>
      </c>
      <c r="C222" s="219">
        <v>2098.86</v>
      </c>
      <c r="D222" s="174">
        <f t="shared" si="70"/>
        <v>1.3565002390415229E-2</v>
      </c>
      <c r="E222" s="213">
        <f t="shared" si="63"/>
        <v>-1.7027834325830592E-3</v>
      </c>
      <c r="F222" s="223">
        <v>4842.67</v>
      </c>
      <c r="G222" s="174">
        <f t="shared" si="64"/>
        <v>1.3271984667018248E-2</v>
      </c>
      <c r="H222" s="207">
        <f t="shared" si="65"/>
        <v>-4.8909008778993214E-2</v>
      </c>
      <c r="I222" s="485">
        <v>358404.16</v>
      </c>
      <c r="J222" s="176">
        <v>400000</v>
      </c>
      <c r="K222" s="176">
        <f t="shared" si="66"/>
        <v>3604.5699999999488</v>
      </c>
      <c r="L222" s="174">
        <f t="shared" si="75"/>
        <v>1.0159453679188154E-2</v>
      </c>
      <c r="M222" s="186">
        <f t="shared" si="67"/>
        <v>-41595.840000000026</v>
      </c>
      <c r="N222" s="188">
        <f t="shared" ref="N222:N253" si="76">M222/J222</f>
        <v>-0.10398960000000007</v>
      </c>
      <c r="O222" s="186" t="b">
        <f t="shared" si="68"/>
        <v>0</v>
      </c>
      <c r="P222" s="188">
        <f>COUNTIF(O$2:O222, TRUE)/(COUNTIF(O$2:O222,FALSE) + COUNTIF(O$2:O222, TRUE))</f>
        <v>0.48868778280542985</v>
      </c>
      <c r="Q222" s="176">
        <v>320795.08</v>
      </c>
      <c r="R222" s="176">
        <f t="shared" si="69"/>
        <v>37609.079999999958</v>
      </c>
      <c r="S222" s="176">
        <v>-50056</v>
      </c>
      <c r="T222" s="176">
        <f t="shared" si="74"/>
        <v>8460.1599999999744</v>
      </c>
      <c r="U222" s="188">
        <f>STDEV(D$2:D222)*SQRT(252)</f>
        <v>0.17936712847918884</v>
      </c>
      <c r="V222" s="188">
        <f>STDEV(L$2:L222)*SQRT(252)</f>
        <v>0.38118352520471832</v>
      </c>
      <c r="W222" s="186">
        <f t="shared" si="71"/>
        <v>-0.27280717324850662</v>
      </c>
    </row>
    <row r="223" spans="2:23" ht="20.100000000000001" customHeight="1" x14ac:dyDescent="0.25">
      <c r="B223" s="175">
        <v>42552</v>
      </c>
      <c r="C223" s="219">
        <v>2102.9499999999998</v>
      </c>
      <c r="D223" s="174">
        <f t="shared" si="70"/>
        <v>1.9486769007936169E-3</v>
      </c>
      <c r="E223" s="213">
        <f t="shared" si="63"/>
        <v>2.4257529346842884E-4</v>
      </c>
      <c r="F223" s="223">
        <v>4862.59</v>
      </c>
      <c r="G223" s="174">
        <f t="shared" si="64"/>
        <v>4.1134332919649848E-3</v>
      </c>
      <c r="H223" s="207">
        <f t="shared" si="65"/>
        <v>-4.4996759432016746E-2</v>
      </c>
      <c r="I223" s="225">
        <v>358860.97</v>
      </c>
      <c r="J223" s="176">
        <v>400000</v>
      </c>
      <c r="K223" s="176">
        <f t="shared" si="66"/>
        <v>456.80999999999767</v>
      </c>
      <c r="L223" s="174">
        <f t="shared" si="75"/>
        <v>1.2745666791367535E-3</v>
      </c>
      <c r="M223" s="186">
        <f t="shared" si="67"/>
        <v>-41139.030000000028</v>
      </c>
      <c r="N223" s="188">
        <f t="shared" si="76"/>
        <v>-0.10284757500000007</v>
      </c>
      <c r="O223" s="186" t="b">
        <f t="shared" si="68"/>
        <v>0</v>
      </c>
      <c r="P223" s="188">
        <f>COUNTIF(O$2:O223, TRUE)/(COUNTIF(O$2:O223,FALSE) + COUNTIF(O$2:O223, TRUE))</f>
        <v>0.48648648648648651</v>
      </c>
      <c r="Q223" s="176">
        <v>272845.65000000002</v>
      </c>
      <c r="R223" s="176">
        <f t="shared" si="69"/>
        <v>86015.319999999949</v>
      </c>
      <c r="S223" s="176">
        <v>-51775</v>
      </c>
      <c r="T223" s="176">
        <f t="shared" si="74"/>
        <v>10635.969999999972</v>
      </c>
      <c r="U223" s="188">
        <f>STDEV(D$2:D223)*SQRT(252)</f>
        <v>0.17897042454940121</v>
      </c>
      <c r="V223" s="188">
        <f>STDEV(L$2:L223)*SQRT(252)</f>
        <v>0.3803179125579893</v>
      </c>
      <c r="W223" s="186">
        <f t="shared" si="71"/>
        <v>-0.27042527213155731</v>
      </c>
    </row>
    <row r="224" spans="2:23" ht="20.100000000000001" customHeight="1" x14ac:dyDescent="0.25">
      <c r="B224" s="248">
        <v>42556</v>
      </c>
      <c r="C224" s="249">
        <v>2088.5500000000002</v>
      </c>
      <c r="D224" s="174">
        <f t="shared" si="70"/>
        <v>-6.847523716683534E-3</v>
      </c>
      <c r="E224" s="250">
        <f t="shared" ref="E224:E255" si="77">(C224-$C$2)/$C$2</f>
        <v>-6.6066094632902111E-3</v>
      </c>
      <c r="F224" s="251">
        <v>4822.8999999999996</v>
      </c>
      <c r="G224" s="174">
        <f t="shared" si="64"/>
        <v>-8.1623167900235286E-3</v>
      </c>
      <c r="H224" s="252">
        <f t="shared" ref="H224:H255" si="78">(F224-F$2)/F$2</f>
        <v>-5.2791798417031674E-2</v>
      </c>
      <c r="I224" s="253">
        <v>346939.19</v>
      </c>
      <c r="J224" s="254">
        <v>400000</v>
      </c>
      <c r="K224" s="254">
        <f t="shared" ref="K224:K255" si="79">I224-I223-J224+J223</f>
        <v>-11921.77999999997</v>
      </c>
      <c r="L224" s="174">
        <f t="shared" si="75"/>
        <v>-3.3221166403245163E-2</v>
      </c>
      <c r="M224" s="255">
        <f t="shared" ref="M224:M253" si="80">I224-J224</f>
        <v>-53060.81</v>
      </c>
      <c r="N224" s="256">
        <f t="shared" si="76"/>
        <v>-0.13265202500000001</v>
      </c>
      <c r="O224" s="255" t="b">
        <f t="shared" ref="O224:O255" si="81">L224&gt;D224</f>
        <v>0</v>
      </c>
      <c r="P224" s="256">
        <f>COUNTIF(O$2:O224, TRUE)/(COUNTIF(O$2:O224,FALSE) + COUNTIF(O$2:O224, TRUE))</f>
        <v>0.48430493273542602</v>
      </c>
      <c r="Q224" s="254">
        <v>313798.31</v>
      </c>
      <c r="R224" s="254">
        <f t="shared" si="69"/>
        <v>33140.880000000005</v>
      </c>
      <c r="S224" s="254">
        <v>-60102</v>
      </c>
      <c r="T224" s="254">
        <f t="shared" si="74"/>
        <v>7041.1900000000023</v>
      </c>
      <c r="U224" s="256">
        <f>STDEV(D$2:D224)*SQRT(252)</f>
        <v>0.1787168459746149</v>
      </c>
      <c r="V224" s="256">
        <f>STDEV(L$2:L224)*SQRT(252)</f>
        <v>0.38112496311245453</v>
      </c>
      <c r="W224" s="255">
        <f t="shared" si="71"/>
        <v>-0.34805388740925841</v>
      </c>
    </row>
    <row r="225" spans="2:23" ht="20.100000000000001" customHeight="1" x14ac:dyDescent="0.25">
      <c r="B225" s="248">
        <v>42557</v>
      </c>
      <c r="C225" s="249">
        <v>2088.5500000000002</v>
      </c>
      <c r="D225" s="174">
        <f t="shared" si="70"/>
        <v>0</v>
      </c>
      <c r="E225" s="250">
        <f t="shared" si="77"/>
        <v>-6.6066094632902111E-3</v>
      </c>
      <c r="F225" s="251">
        <v>4859.16</v>
      </c>
      <c r="G225" s="174">
        <f t="shared" si="64"/>
        <v>7.5182981193887954E-3</v>
      </c>
      <c r="H225" s="252">
        <f t="shared" si="78"/>
        <v>-4.5670404776400803E-2</v>
      </c>
      <c r="I225" s="253">
        <v>347494.51</v>
      </c>
      <c r="J225" s="254">
        <v>400000</v>
      </c>
      <c r="K225" s="254">
        <f t="shared" si="79"/>
        <v>555.32000000000698</v>
      </c>
      <c r="L225" s="174">
        <f t="shared" si="75"/>
        <v>1.6006263230164543E-3</v>
      </c>
      <c r="M225" s="255">
        <f t="shared" si="80"/>
        <v>-52505.489999999991</v>
      </c>
      <c r="N225" s="256">
        <f t="shared" si="76"/>
        <v>-0.13126372499999997</v>
      </c>
      <c r="O225" s="255" t="b">
        <f t="shared" si="81"/>
        <v>1</v>
      </c>
      <c r="P225" s="256">
        <f>COUNTIF(O$2:O225, TRUE)/(COUNTIF(O$2:O225,FALSE) + COUNTIF(O$2:O225, TRUE))</f>
        <v>0.48660714285714285</v>
      </c>
      <c r="Q225" s="254">
        <v>315793.82</v>
      </c>
      <c r="R225" s="254">
        <f t="shared" si="69"/>
        <v>31700.690000000002</v>
      </c>
      <c r="S225" s="254">
        <v>-60101</v>
      </c>
      <c r="T225" s="254">
        <f t="shared" si="74"/>
        <v>7595.5100000000093</v>
      </c>
      <c r="U225" s="256">
        <f>STDEV(D$2:D225)*SQRT(252)</f>
        <v>0.17831387977448732</v>
      </c>
      <c r="V225" s="256">
        <f>STDEV(L$2:L225)*SQRT(252)</f>
        <v>0.38026911407606601</v>
      </c>
      <c r="W225" s="255">
        <f t="shared" si="71"/>
        <v>-0.3451863960051802</v>
      </c>
    </row>
    <row r="226" spans="2:23" ht="20.100000000000001" customHeight="1" x14ac:dyDescent="0.25">
      <c r="B226" s="248">
        <v>42558</v>
      </c>
      <c r="C226" s="249">
        <v>2088.5500000000002</v>
      </c>
      <c r="D226" s="174">
        <f t="shared" si="70"/>
        <v>0</v>
      </c>
      <c r="E226" s="250">
        <f t="shared" si="77"/>
        <v>-6.6066094632902111E-3</v>
      </c>
      <c r="F226" s="251">
        <v>4876.8</v>
      </c>
      <c r="G226" s="174">
        <f t="shared" si="64"/>
        <v>3.630257081470939E-3</v>
      </c>
      <c r="H226" s="252">
        <f t="shared" si="78"/>
        <v>-4.2205943005283041E-2</v>
      </c>
      <c r="I226" s="253">
        <v>350011.84</v>
      </c>
      <c r="J226" s="254">
        <v>400000</v>
      </c>
      <c r="K226" s="254">
        <f t="shared" si="79"/>
        <v>2517.3300000000163</v>
      </c>
      <c r="L226" s="174">
        <f t="shared" si="75"/>
        <v>7.2442295563173538E-3</v>
      </c>
      <c r="M226" s="255">
        <f t="shared" si="80"/>
        <v>-49988.159999999974</v>
      </c>
      <c r="N226" s="256">
        <f t="shared" si="76"/>
        <v>-0.12497039999999994</v>
      </c>
      <c r="O226" s="255" t="b">
        <f t="shared" si="81"/>
        <v>1</v>
      </c>
      <c r="P226" s="256">
        <f>COUNTIF(O$2:O226, TRUE)/(COUNTIF(O$2:O226,FALSE) + COUNTIF(O$2:O226, TRUE))</f>
        <v>0.48888888888888887</v>
      </c>
      <c r="Q226" s="254">
        <v>315794.82</v>
      </c>
      <c r="R226" s="254">
        <f t="shared" si="69"/>
        <v>34217.020000000019</v>
      </c>
      <c r="S226" s="254">
        <v>-60100</v>
      </c>
      <c r="T226" s="254">
        <f t="shared" si="74"/>
        <v>10111.840000000026</v>
      </c>
      <c r="U226" s="256">
        <f>STDEV(D$2:D226)*SQRT(252)</f>
        <v>0.17791362713368658</v>
      </c>
      <c r="V226" s="256">
        <f>STDEV(L$2:L226)*SQRT(252)</f>
        <v>0.3794918182893931</v>
      </c>
      <c r="W226" s="255">
        <f t="shared" si="71"/>
        <v>-0.32930986645066468</v>
      </c>
    </row>
    <row r="227" spans="2:23" ht="20.100000000000001" customHeight="1" x14ac:dyDescent="0.25">
      <c r="B227" s="248">
        <v>42559</v>
      </c>
      <c r="C227" s="249">
        <v>2088.5500000000002</v>
      </c>
      <c r="D227" s="174">
        <f t="shared" si="70"/>
        <v>0</v>
      </c>
      <c r="E227" s="250">
        <f t="shared" si="77"/>
        <v>-6.6066094632902111E-3</v>
      </c>
      <c r="F227" s="251">
        <v>4956.75</v>
      </c>
      <c r="G227" s="174">
        <f t="shared" si="64"/>
        <v>1.6393946850393661E-2</v>
      </c>
      <c r="H227" s="252">
        <f t="shared" si="78"/>
        <v>-2.6503918141288729E-2</v>
      </c>
      <c r="I227" s="253">
        <f>356591.17-44.77</f>
        <v>356546.39999999997</v>
      </c>
      <c r="J227" s="254">
        <v>400000</v>
      </c>
      <c r="K227" s="254">
        <f t="shared" si="79"/>
        <v>6534.5599999999395</v>
      </c>
      <c r="L227" s="174">
        <f t="shared" si="75"/>
        <v>1.8669539864708401E-2</v>
      </c>
      <c r="M227" s="255">
        <f t="shared" si="80"/>
        <v>-43453.600000000035</v>
      </c>
      <c r="N227" s="256">
        <f t="shared" si="76"/>
        <v>-0.10863400000000009</v>
      </c>
      <c r="O227" s="255" t="b">
        <f t="shared" si="81"/>
        <v>1</v>
      </c>
      <c r="P227" s="256">
        <f>COUNTIF(O$2:O227, TRUE)/(COUNTIF(O$2:O227,FALSE) + COUNTIF(O$2:O227, TRUE))</f>
        <v>0.49115044247787609</v>
      </c>
      <c r="Q227" s="254">
        <v>317292.78000000003</v>
      </c>
      <c r="R227" s="254">
        <f t="shared" si="69"/>
        <v>39253.619999999937</v>
      </c>
      <c r="S227" s="254">
        <v>-54317</v>
      </c>
      <c r="T227" s="254">
        <f t="shared" si="74"/>
        <v>10863.399999999965</v>
      </c>
      <c r="U227" s="256">
        <f>STDEV(D$2:D227)*SQRT(252)</f>
        <v>0.17751605773328505</v>
      </c>
      <c r="V227" s="256">
        <f>STDEV(L$2:L227)*SQRT(252)</f>
        <v>0.37915328642285256</v>
      </c>
      <c r="W227" s="255">
        <f t="shared" si="71"/>
        <v>-0.28651736353102708</v>
      </c>
    </row>
    <row r="228" spans="2:23" ht="20.100000000000001" customHeight="1" x14ac:dyDescent="0.25">
      <c r="B228" s="175">
        <v>42562</v>
      </c>
      <c r="C228" s="219">
        <v>2137.16</v>
      </c>
      <c r="D228" s="174">
        <f t="shared" si="70"/>
        <v>2.3274520600416397E-2</v>
      </c>
      <c r="E228" s="213">
        <f t="shared" si="77"/>
        <v>1.6514145469073933E-2</v>
      </c>
      <c r="F228" s="223">
        <v>4988.63</v>
      </c>
      <c r="G228" s="174">
        <f t="shared" si="64"/>
        <v>6.4316336309073706E-3</v>
      </c>
      <c r="H228" s="207">
        <f t="shared" si="78"/>
        <v>-2.0242748001649689E-2</v>
      </c>
      <c r="I228" s="225">
        <v>356544.06</v>
      </c>
      <c r="J228" s="176">
        <v>400000</v>
      </c>
      <c r="K228" s="176">
        <f t="shared" si="79"/>
        <v>-2.3399999999674037</v>
      </c>
      <c r="L228" s="174">
        <f t="shared" si="75"/>
        <v>-6.5629606692632545E-6</v>
      </c>
      <c r="M228" s="186">
        <f t="shared" si="80"/>
        <v>-43455.94</v>
      </c>
      <c r="N228" s="188">
        <f t="shared" si="76"/>
        <v>-0.10863985000000001</v>
      </c>
      <c r="O228" s="186" t="b">
        <f t="shared" si="81"/>
        <v>0</v>
      </c>
      <c r="P228" s="188">
        <f>COUNTIF(O$2:O228, TRUE)/(COUNTIF(O$2:O228,FALSE) + COUNTIF(O$2:O228, TRUE))</f>
        <v>0.48898678414096919</v>
      </c>
      <c r="Q228" s="176">
        <v>315114.71999999997</v>
      </c>
      <c r="R228" s="176">
        <f t="shared" si="69"/>
        <v>41429.340000000026</v>
      </c>
      <c r="S228" s="176">
        <v>-55783</v>
      </c>
      <c r="T228" s="176">
        <f t="shared" si="74"/>
        <v>12327.059999999998</v>
      </c>
      <c r="U228" s="188">
        <f>STDEV(D$2:D228)*SQRT(252)</f>
        <v>0.17881334891320599</v>
      </c>
      <c r="V228" s="188">
        <f>STDEV(L$2:L228)*SQRT(252)</f>
        <v>0.37830983950867753</v>
      </c>
      <c r="W228" s="186">
        <f t="shared" si="71"/>
        <v>-0.28717162139132801</v>
      </c>
    </row>
    <row r="229" spans="2:23" ht="20.100000000000001" customHeight="1" x14ac:dyDescent="0.25">
      <c r="B229" s="175">
        <v>42563</v>
      </c>
      <c r="C229" s="219">
        <v>2152.14</v>
      </c>
      <c r="D229" s="174">
        <f t="shared" si="70"/>
        <v>7.0093020644219524E-3</v>
      </c>
      <c r="E229" s="213">
        <f t="shared" si="77"/>
        <v>2.3639200167424428E-2</v>
      </c>
      <c r="F229" s="223">
        <v>5022.82</v>
      </c>
      <c r="G229" s="174">
        <f t="shared" si="64"/>
        <v>6.8535850524090985E-3</v>
      </c>
      <c r="H229" s="207">
        <f t="shared" si="78"/>
        <v>-1.3527898344364379E-2</v>
      </c>
      <c r="I229" s="225">
        <v>371135.11</v>
      </c>
      <c r="J229" s="176">
        <v>400000</v>
      </c>
      <c r="K229" s="176">
        <f t="shared" si="79"/>
        <v>14591.049999999988</v>
      </c>
      <c r="L229" s="174">
        <f t="shared" si="75"/>
        <v>4.092355373975376E-2</v>
      </c>
      <c r="M229" s="186">
        <f t="shared" si="80"/>
        <v>-28864.890000000014</v>
      </c>
      <c r="N229" s="188">
        <f t="shared" si="76"/>
        <v>-7.2162225000000038E-2</v>
      </c>
      <c r="O229" s="186" t="b">
        <f t="shared" si="81"/>
        <v>1</v>
      </c>
      <c r="P229" s="188">
        <f>COUNTIF(O$2:O229, TRUE)/(COUNTIF(O$2:O229,FALSE) + COUNTIF(O$2:O229, TRUE))</f>
        <v>0.49122807017543857</v>
      </c>
      <c r="Q229" s="176">
        <v>321724.34999999998</v>
      </c>
      <c r="R229" s="176">
        <f t="shared" si="69"/>
        <v>49410.760000000009</v>
      </c>
      <c r="S229" s="176">
        <v>-44731</v>
      </c>
      <c r="T229" s="176">
        <f t="shared" si="74"/>
        <v>15866.109999999986</v>
      </c>
      <c r="U229" s="188">
        <f>STDEV(D$2:D229)*SQRT(252)</f>
        <v>0.17856422908432967</v>
      </c>
      <c r="V229" s="188">
        <f>STDEV(L$2:L229)*SQRT(252)</f>
        <v>0.37990463509326544</v>
      </c>
      <c r="W229" s="186">
        <f t="shared" si="71"/>
        <v>-0.18994826157434069</v>
      </c>
    </row>
    <row r="230" spans="2:23" ht="20.100000000000001" customHeight="1" x14ac:dyDescent="0.25">
      <c r="B230" s="175">
        <v>42564</v>
      </c>
      <c r="C230" s="219">
        <v>2152.4299999999998</v>
      </c>
      <c r="D230" s="174">
        <f t="shared" si="70"/>
        <v>1.347495980744578E-4</v>
      </c>
      <c r="E230" s="213">
        <f t="shared" si="77"/>
        <v>2.3777135138220249E-2</v>
      </c>
      <c r="F230" s="223">
        <v>5005.72</v>
      </c>
      <c r="G230" s="174">
        <f t="shared" si="64"/>
        <v>-3.4044620352709147E-3</v>
      </c>
      <c r="H230" s="207">
        <f t="shared" si="78"/>
        <v>-1.6886305163304902E-2</v>
      </c>
      <c r="I230" s="225">
        <v>368490.23999999999</v>
      </c>
      <c r="J230" s="176">
        <v>400000</v>
      </c>
      <c r="K230" s="176">
        <f t="shared" si="79"/>
        <v>-2644.8699999999953</v>
      </c>
      <c r="L230" s="174">
        <f t="shared" si="75"/>
        <v>-7.1264343597133547E-3</v>
      </c>
      <c r="M230" s="186">
        <f t="shared" si="80"/>
        <v>-31509.760000000009</v>
      </c>
      <c r="N230" s="188">
        <f t="shared" si="76"/>
        <v>-7.8774400000000022E-2</v>
      </c>
      <c r="O230" s="186" t="b">
        <f t="shared" si="81"/>
        <v>0</v>
      </c>
      <c r="P230" s="188">
        <f>COUNTIF(O$2:O230, TRUE)/(COUNTIF(O$2:O230,FALSE) + COUNTIF(O$2:O230, TRUE))</f>
        <v>0.48908296943231439</v>
      </c>
      <c r="Q230" s="176">
        <v>319923.32</v>
      </c>
      <c r="R230" s="176">
        <f t="shared" si="69"/>
        <v>48566.919999999984</v>
      </c>
      <c r="S230" s="176">
        <v>-47124</v>
      </c>
      <c r="T230" s="176">
        <f t="shared" si="74"/>
        <v>15614.239999999991</v>
      </c>
      <c r="U230" s="188">
        <f>STDEV(D$2:D230)*SQRT(252)</f>
        <v>0.17817048471828337</v>
      </c>
      <c r="V230" s="188">
        <f>STDEV(L$2:L230)*SQRT(252)</f>
        <v>0.3791487014021947</v>
      </c>
      <c r="W230" s="186">
        <f t="shared" si="71"/>
        <v>-0.20776650350817749</v>
      </c>
    </row>
    <row r="231" spans="2:23" ht="20.100000000000001" customHeight="1" x14ac:dyDescent="0.25">
      <c r="B231" s="175">
        <v>42565</v>
      </c>
      <c r="C231" s="219">
        <v>2163.75</v>
      </c>
      <c r="D231" s="174">
        <f t="shared" si="70"/>
        <v>5.2591721914302279E-3</v>
      </c>
      <c r="E231" s="213">
        <f t="shared" si="77"/>
        <v>2.9161355377561284E-2</v>
      </c>
      <c r="F231" s="223">
        <v>5034.05</v>
      </c>
      <c r="G231" s="174">
        <f t="shared" si="64"/>
        <v>5.6595255028247535E-3</v>
      </c>
      <c r="H231" s="207">
        <f t="shared" si="78"/>
        <v>-1.1322348135200354E-2</v>
      </c>
      <c r="I231" s="225">
        <v>370497.23</v>
      </c>
      <c r="J231" s="176">
        <v>400000</v>
      </c>
      <c r="K231" s="176">
        <f t="shared" si="79"/>
        <v>2006.9899999999907</v>
      </c>
      <c r="L231" s="174">
        <f t="shared" si="75"/>
        <v>5.4465214601070325E-3</v>
      </c>
      <c r="M231" s="186">
        <f t="shared" si="80"/>
        <v>-29502.770000000019</v>
      </c>
      <c r="N231" s="188">
        <f t="shared" si="76"/>
        <v>-7.3756925000000043E-2</v>
      </c>
      <c r="O231" s="186" t="b">
        <f t="shared" si="81"/>
        <v>1</v>
      </c>
      <c r="P231" s="188">
        <f>COUNTIF(O$2:O231, TRUE)/(COUNTIF(O$2:O231,FALSE) + COUNTIF(O$2:O231, TRUE))</f>
        <v>0.49130434782608695</v>
      </c>
      <c r="Q231" s="176">
        <v>321931.40999999997</v>
      </c>
      <c r="R231" s="176">
        <f t="shared" si="69"/>
        <v>48565.820000000007</v>
      </c>
      <c r="S231" s="176">
        <v>-47213</v>
      </c>
      <c r="T231" s="176">
        <f t="shared" si="74"/>
        <v>17710.229999999981</v>
      </c>
      <c r="U231" s="188">
        <f>STDEV(D$2:D231)*SQRT(252)</f>
        <v>0.17785960012092625</v>
      </c>
      <c r="V231" s="188">
        <f>STDEV(L$2:L231)*SQRT(252)</f>
        <v>0.378354378552888</v>
      </c>
      <c r="W231" s="186">
        <f t="shared" si="71"/>
        <v>-0.1949413808348196</v>
      </c>
    </row>
    <row r="232" spans="2:23" ht="20.100000000000001" customHeight="1" x14ac:dyDescent="0.25">
      <c r="B232" s="175">
        <v>42566</v>
      </c>
      <c r="C232" s="219">
        <v>2161.7399999999998</v>
      </c>
      <c r="D232" s="174">
        <f t="shared" si="70"/>
        <v>-9.2894280762575077E-4</v>
      </c>
      <c r="E232" s="213">
        <f t="shared" si="77"/>
        <v>2.8205323338596929E-2</v>
      </c>
      <c r="F232" s="223">
        <v>5029.58</v>
      </c>
      <c r="G232" s="174">
        <f t="shared" si="64"/>
        <v>-8.8795303979901958E-4</v>
      </c>
      <c r="H232" s="207">
        <f t="shared" si="78"/>
        <v>-1.2200247461555059E-2</v>
      </c>
      <c r="I232" s="225">
        <v>368347.44</v>
      </c>
      <c r="J232" s="176">
        <v>400000</v>
      </c>
      <c r="K232" s="176">
        <f t="shared" si="79"/>
        <v>-2149.789999999979</v>
      </c>
      <c r="L232" s="174">
        <f t="shared" si="75"/>
        <v>-5.8024455405509484E-3</v>
      </c>
      <c r="M232" s="186">
        <f t="shared" si="80"/>
        <v>-31652.559999999998</v>
      </c>
      <c r="N232" s="188">
        <f t="shared" si="76"/>
        <v>-7.9131399999999991E-2</v>
      </c>
      <c r="O232" s="186" t="b">
        <f t="shared" si="81"/>
        <v>0</v>
      </c>
      <c r="P232" s="188">
        <f>COUNTIF(O$2:O232, TRUE)/(COUNTIF(O$2:O232,FALSE) + COUNTIF(O$2:O232, TRUE))</f>
        <v>0.48917748917748916</v>
      </c>
      <c r="Q232" s="176">
        <v>315227.08</v>
      </c>
      <c r="R232" s="176">
        <f t="shared" si="69"/>
        <v>53120.359999999986</v>
      </c>
      <c r="S232" s="176">
        <v>-48618</v>
      </c>
      <c r="T232" s="176">
        <f t="shared" si="74"/>
        <v>16965.440000000002</v>
      </c>
      <c r="U232" s="188">
        <f>STDEV(D$2:D232)*SQRT(252)</f>
        <v>0.17747468742677538</v>
      </c>
      <c r="V232" s="188">
        <f>STDEV(L$2:L232)*SQRT(252)</f>
        <v>0.37758235657631534</v>
      </c>
      <c r="W232" s="186">
        <f t="shared" si="71"/>
        <v>-0.20957388135800326</v>
      </c>
    </row>
    <row r="233" spans="2:23" ht="20.100000000000001" customHeight="1" x14ac:dyDescent="0.25">
      <c r="B233" s="248">
        <v>42569</v>
      </c>
      <c r="C233" s="249">
        <v>2166.89</v>
      </c>
      <c r="D233" s="174">
        <f t="shared" si="70"/>
        <v>2.3823401519147036E-3</v>
      </c>
      <c r="E233" s="250">
        <f t="shared" si="77"/>
        <v>3.0654858164798907E-2</v>
      </c>
      <c r="F233" s="251">
        <v>5055.78</v>
      </c>
      <c r="G233" s="174">
        <f t="shared" si="64"/>
        <v>5.209182476469172E-3</v>
      </c>
      <c r="H233" s="252">
        <f t="shared" si="78"/>
        <v>-7.0546183003712066E-3</v>
      </c>
      <c r="I233" s="253">
        <f>369683.39+2.9</f>
        <v>369686.29000000004</v>
      </c>
      <c r="J233" s="254">
        <v>400000</v>
      </c>
      <c r="K233" s="254">
        <f t="shared" si="79"/>
        <v>1338.8500000000349</v>
      </c>
      <c r="L233" s="174">
        <f t="shared" si="75"/>
        <v>3.6347476719263611E-3</v>
      </c>
      <c r="M233" s="255">
        <f t="shared" si="80"/>
        <v>-30313.709999999963</v>
      </c>
      <c r="N233" s="256">
        <f t="shared" si="76"/>
        <v>-7.5784274999999901E-2</v>
      </c>
      <c r="O233" s="255" t="b">
        <f t="shared" si="81"/>
        <v>1</v>
      </c>
      <c r="P233" s="256">
        <f>COUNTIF(O$2:O233, TRUE)/(COUNTIF(O$2:O233,FALSE) + COUNTIF(O$2:O233, TRUE))</f>
        <v>0.49137931034482757</v>
      </c>
      <c r="Q233" s="254">
        <v>316103.03999999998</v>
      </c>
      <c r="R233" s="254">
        <f t="shared" si="69"/>
        <v>53583.250000000058</v>
      </c>
      <c r="S233" s="254">
        <v>-47875</v>
      </c>
      <c r="T233" s="254">
        <f t="shared" si="74"/>
        <v>17561.290000000037</v>
      </c>
      <c r="U233" s="256">
        <f>STDEV(D$2:D233)*SQRT(252)</f>
        <v>0.17710334708213829</v>
      </c>
      <c r="V233" s="256">
        <f>STDEV(L$2:L233)*SQRT(252)</f>
        <v>0.37677647505559991</v>
      </c>
      <c r="W233" s="255">
        <f t="shared" si="71"/>
        <v>-0.201138553007633</v>
      </c>
    </row>
    <row r="234" spans="2:23" ht="20.100000000000001" customHeight="1" x14ac:dyDescent="0.25">
      <c r="B234" s="248">
        <v>42570</v>
      </c>
      <c r="C234" s="249">
        <v>2163.7800000000002</v>
      </c>
      <c r="D234" s="174">
        <f t="shared" si="70"/>
        <v>-1.4352366756040559E-3</v>
      </c>
      <c r="E234" s="250">
        <f t="shared" si="77"/>
        <v>2.9175624512471292E-2</v>
      </c>
      <c r="F234" s="251">
        <v>5036.37</v>
      </c>
      <c r="G234" s="174">
        <f t="shared" si="64"/>
        <v>-3.8391702170584669E-3</v>
      </c>
      <c r="H234" s="252">
        <f t="shared" si="78"/>
        <v>-1.0866704636958173E-2</v>
      </c>
      <c r="I234" s="253">
        <v>364028.85</v>
      </c>
      <c r="J234" s="254">
        <v>400000</v>
      </c>
      <c r="K234" s="254">
        <f t="shared" si="79"/>
        <v>-5657.4400000000605</v>
      </c>
      <c r="L234" s="174">
        <f t="shared" si="75"/>
        <v>-1.5303353554171728E-2</v>
      </c>
      <c r="M234" s="255">
        <f t="shared" si="80"/>
        <v>-35971.150000000023</v>
      </c>
      <c r="N234" s="256">
        <f t="shared" si="76"/>
        <v>-8.992787500000006E-2</v>
      </c>
      <c r="O234" s="255" t="b">
        <f t="shared" si="81"/>
        <v>0</v>
      </c>
      <c r="P234" s="256">
        <f>COUNTIF(O$2:O234, TRUE)/(COUNTIF(O$2:O234,FALSE) + COUNTIF(O$2:O234, TRUE))</f>
        <v>0.48927038626609443</v>
      </c>
      <c r="Q234" s="254">
        <v>316420.40000000002</v>
      </c>
      <c r="R234" s="254">
        <f t="shared" si="69"/>
        <v>47608.449999999953</v>
      </c>
      <c r="S234" s="254">
        <v>-53164</v>
      </c>
      <c r="T234" s="254">
        <f t="shared" si="74"/>
        <v>17192.849999999977</v>
      </c>
      <c r="U234" s="256">
        <f>STDEV(D$2:D234)*SQRT(252)</f>
        <v>0.17672773618130258</v>
      </c>
      <c r="V234" s="256">
        <f>STDEV(L$2:L234)*SQRT(252)</f>
        <v>0.37631344049170978</v>
      </c>
      <c r="W234" s="255">
        <f t="shared" si="71"/>
        <v>-0.23897066998854954</v>
      </c>
    </row>
    <row r="235" spans="2:23" ht="20.100000000000001" customHeight="1" x14ac:dyDescent="0.25">
      <c r="B235" s="248">
        <v>42571</v>
      </c>
      <c r="C235" s="249">
        <v>2173.02</v>
      </c>
      <c r="D235" s="174">
        <f t="shared" si="70"/>
        <v>4.2703047444748454E-3</v>
      </c>
      <c r="E235" s="250">
        <f t="shared" si="77"/>
        <v>3.3570518064724761E-2</v>
      </c>
      <c r="F235" s="251">
        <v>5089.93</v>
      </c>
      <c r="G235" s="174">
        <f t="shared" si="64"/>
        <v>1.0634643602435961E-2</v>
      </c>
      <c r="H235" s="252">
        <f t="shared" si="78"/>
        <v>-3.4762456546920032E-4</v>
      </c>
      <c r="I235" s="253">
        <v>366983.12</v>
      </c>
      <c r="J235" s="254">
        <v>400000</v>
      </c>
      <c r="K235" s="254">
        <f t="shared" si="79"/>
        <v>2954.2700000000186</v>
      </c>
      <c r="L235" s="174">
        <f t="shared" si="75"/>
        <v>8.1154831547005646E-3</v>
      </c>
      <c r="M235" s="255">
        <f t="shared" si="80"/>
        <v>-33016.880000000005</v>
      </c>
      <c r="N235" s="256">
        <f t="shared" si="76"/>
        <v>-8.254220000000001E-2</v>
      </c>
      <c r="O235" s="255" t="b">
        <f t="shared" si="81"/>
        <v>1</v>
      </c>
      <c r="P235" s="256">
        <f>COUNTIF(O$2:O235, TRUE)/(COUNTIF(O$2:O235,FALSE) + COUNTIF(O$2:O235, TRUE))</f>
        <v>0.49145299145299143</v>
      </c>
      <c r="Q235" s="254">
        <v>315168.17</v>
      </c>
      <c r="R235" s="254">
        <f t="shared" si="69"/>
        <v>51814.950000000012</v>
      </c>
      <c r="S235" s="254">
        <v>-50698</v>
      </c>
      <c r="T235" s="254">
        <f t="shared" si="74"/>
        <v>17681.119999999995</v>
      </c>
      <c r="U235" s="256">
        <f>STDEV(D$2:D235)*SQRT(252)</f>
        <v>0.17639759874782845</v>
      </c>
      <c r="V235" s="256">
        <f>STDEV(L$2:L235)*SQRT(252)</f>
        <v>0.37559009819227351</v>
      </c>
      <c r="W235" s="255">
        <f t="shared" si="71"/>
        <v>-0.21976670949867452</v>
      </c>
    </row>
    <row r="236" spans="2:23" ht="20.100000000000001" customHeight="1" x14ac:dyDescent="0.25">
      <c r="B236" s="248">
        <v>42572</v>
      </c>
      <c r="C236" s="249">
        <v>2165.17</v>
      </c>
      <c r="D236" s="174">
        <f t="shared" si="70"/>
        <v>-3.6124840084306217E-3</v>
      </c>
      <c r="E236" s="250">
        <f t="shared" si="77"/>
        <v>2.9836761096630589E-2</v>
      </c>
      <c r="F236" s="251">
        <v>5073.8999999999996</v>
      </c>
      <c r="G236" s="174">
        <f t="shared" si="64"/>
        <v>-3.1493556885852365E-3</v>
      </c>
      <c r="H236" s="252">
        <f t="shared" si="78"/>
        <v>-3.4958854606516846E-3</v>
      </c>
      <c r="I236" s="253">
        <f>360276.2+45</f>
        <v>360321.2</v>
      </c>
      <c r="J236" s="254">
        <v>400000</v>
      </c>
      <c r="K236" s="254">
        <f t="shared" si="79"/>
        <v>-6661.9199999999837</v>
      </c>
      <c r="L236" s="174">
        <f t="shared" si="75"/>
        <v>-1.8153205520733445E-2</v>
      </c>
      <c r="M236" s="255">
        <f t="shared" si="80"/>
        <v>-39678.799999999988</v>
      </c>
      <c r="N236" s="256">
        <f t="shared" si="76"/>
        <v>-9.9196999999999966E-2</v>
      </c>
      <c r="O236" s="255" t="b">
        <f t="shared" si="81"/>
        <v>0</v>
      </c>
      <c r="P236" s="256">
        <f>COUNTIF(O$2:O236, TRUE)/(COUNTIF(O$2:O236,FALSE) + COUNTIF(O$2:O236, TRUE))</f>
        <v>0.48936170212765956</v>
      </c>
      <c r="Q236" s="254">
        <v>315749.06</v>
      </c>
      <c r="R236" s="254">
        <f t="shared" si="69"/>
        <v>44572.140000000014</v>
      </c>
      <c r="S236" s="254">
        <v>-55981</v>
      </c>
      <c r="T236" s="254">
        <f t="shared" si="74"/>
        <v>16302.200000000012</v>
      </c>
      <c r="U236" s="256">
        <f>STDEV(D$2:D236)*SQRT(252)</f>
        <v>0.17606319207854554</v>
      </c>
      <c r="V236" s="256">
        <f>STDEV(L$2:L236)*SQRT(252)</f>
        <v>0.37527253812431671</v>
      </c>
      <c r="W236" s="255">
        <f t="shared" si="71"/>
        <v>-0.26433322431693346</v>
      </c>
    </row>
    <row r="237" spans="2:23" ht="20.100000000000001" customHeight="1" x14ac:dyDescent="0.25">
      <c r="B237" s="248">
        <v>42573</v>
      </c>
      <c r="C237" s="249">
        <v>2175.0300000000002</v>
      </c>
      <c r="D237" s="174">
        <f t="shared" si="70"/>
        <v>4.553914935085987E-3</v>
      </c>
      <c r="E237" s="250">
        <f t="shared" si="77"/>
        <v>3.4526550103689116E-2</v>
      </c>
      <c r="F237" s="251">
        <v>5100.16</v>
      </c>
      <c r="G237" s="174">
        <f t="shared" si="64"/>
        <v>5.175506021009523E-3</v>
      </c>
      <c r="H237" s="252">
        <f t="shared" si="78"/>
        <v>1.6615275841074762E-3</v>
      </c>
      <c r="I237" s="253">
        <v>357414.17</v>
      </c>
      <c r="J237" s="254">
        <v>400000</v>
      </c>
      <c r="K237" s="254">
        <f t="shared" si="79"/>
        <v>-2907.0300000000279</v>
      </c>
      <c r="L237" s="174">
        <f t="shared" si="75"/>
        <v>-8.0678849870616208E-3</v>
      </c>
      <c r="M237" s="255">
        <f t="shared" si="80"/>
        <v>-42585.830000000016</v>
      </c>
      <c r="N237" s="256">
        <f t="shared" si="76"/>
        <v>-0.10646457500000005</v>
      </c>
      <c r="O237" s="255" t="b">
        <f t="shared" si="81"/>
        <v>0</v>
      </c>
      <c r="P237" s="256">
        <f>COUNTIF(O$2:O237, TRUE)/(COUNTIF(O$2:O237,FALSE) + COUNTIF(O$2:O237, TRUE))</f>
        <v>0.48728813559322032</v>
      </c>
      <c r="Q237" s="254">
        <v>316131.83</v>
      </c>
      <c r="R237" s="254">
        <f t="shared" ref="R237:R242" si="82">I237-Q237</f>
        <v>41282.339999999967</v>
      </c>
      <c r="S237" s="254">
        <v>-58740</v>
      </c>
      <c r="T237" s="254">
        <f t="shared" ref="T237:T242" si="83">M237-S237</f>
        <v>16154.169999999984</v>
      </c>
      <c r="U237" s="256">
        <f>STDEV(D$2:D237)*SQRT(252)</f>
        <v>0.17574477489002999</v>
      </c>
      <c r="V237" s="256">
        <f>STDEV(L$2:L237)*SQRT(252)</f>
        <v>0.37456834740512818</v>
      </c>
      <c r="W237" s="255">
        <f t="shared" si="71"/>
        <v>-0.28423270609368756</v>
      </c>
    </row>
    <row r="238" spans="2:23" ht="20.100000000000001" customHeight="1" x14ac:dyDescent="0.25">
      <c r="B238" s="175">
        <v>42576</v>
      </c>
      <c r="C238" s="219">
        <v>2168.48</v>
      </c>
      <c r="D238" s="174">
        <f t="shared" si="70"/>
        <v>-3.0114527155948108E-3</v>
      </c>
      <c r="E238" s="213">
        <f t="shared" si="77"/>
        <v>3.141112231502443E-2</v>
      </c>
      <c r="F238" s="223">
        <v>5097.62</v>
      </c>
      <c r="G238" s="174">
        <f t="shared" si="64"/>
        <v>-4.9802359141673275E-4</v>
      </c>
      <c r="H238" s="207">
        <f t="shared" si="78"/>
        <v>1.1626765127560684E-3</v>
      </c>
      <c r="I238" s="225">
        <v>355693.78</v>
      </c>
      <c r="J238" s="176">
        <v>400000</v>
      </c>
      <c r="K238" s="176">
        <f t="shared" si="79"/>
        <v>-1720.3899999999558</v>
      </c>
      <c r="L238" s="174">
        <f t="shared" si="75"/>
        <v>-4.8134353486879262E-3</v>
      </c>
      <c r="M238" s="186">
        <f t="shared" si="80"/>
        <v>-44306.219999999972</v>
      </c>
      <c r="N238" s="188">
        <f t="shared" si="76"/>
        <v>-0.11076554999999993</v>
      </c>
      <c r="O238" s="186" t="b">
        <f t="shared" si="81"/>
        <v>0</v>
      </c>
      <c r="P238" s="188">
        <f>COUNTIF(O$2:O238, TRUE)/(COUNTIF(O$2:O238,FALSE) + COUNTIF(O$2:O238, TRUE))</f>
        <v>0.48523206751054854</v>
      </c>
      <c r="Q238" s="176">
        <v>311346.09000000003</v>
      </c>
      <c r="R238" s="176">
        <f t="shared" si="82"/>
        <v>44347.69</v>
      </c>
      <c r="S238" s="176">
        <v>-60287</v>
      </c>
      <c r="T238" s="176">
        <f t="shared" si="83"/>
        <v>15980.780000000028</v>
      </c>
      <c r="U238" s="188">
        <f>STDEV(D$2:D238)*SQRT(252)</f>
        <v>0.17540195592552774</v>
      </c>
      <c r="V238" s="188">
        <f>STDEV(L$2:L238)*SQRT(252)</f>
        <v>0.37380634336339558</v>
      </c>
      <c r="W238" s="186">
        <f t="shared" si="71"/>
        <v>-0.29631800520923551</v>
      </c>
    </row>
    <row r="239" spans="2:23" ht="20.100000000000001" customHeight="1" x14ac:dyDescent="0.25">
      <c r="B239" s="175">
        <v>42577</v>
      </c>
      <c r="C239" s="219">
        <v>2169.1799999999998</v>
      </c>
      <c r="D239" s="174">
        <f t="shared" si="70"/>
        <v>3.2280675865113727E-4</v>
      </c>
      <c r="E239" s="213">
        <f t="shared" si="77"/>
        <v>3.1744068796255673E-2</v>
      </c>
      <c r="F239" s="223">
        <v>5110.04</v>
      </c>
      <c r="G239" s="174">
        <f t="shared" si="64"/>
        <v>2.4364311188358632E-3</v>
      </c>
      <c r="H239" s="207">
        <f t="shared" si="78"/>
        <v>3.60194041282875E-3</v>
      </c>
      <c r="I239" s="225">
        <v>360934.05</v>
      </c>
      <c r="J239" s="176">
        <v>400000</v>
      </c>
      <c r="K239" s="176">
        <f t="shared" si="79"/>
        <v>5240.2699999999604</v>
      </c>
      <c r="L239" s="174">
        <f t="shared" si="75"/>
        <v>1.4732532011102247E-2</v>
      </c>
      <c r="M239" s="186">
        <f t="shared" si="80"/>
        <v>-39065.950000000012</v>
      </c>
      <c r="N239" s="188">
        <f t="shared" si="76"/>
        <v>-9.7664875000000026E-2</v>
      </c>
      <c r="O239" s="186" t="b">
        <f t="shared" si="81"/>
        <v>1</v>
      </c>
      <c r="P239" s="188">
        <f>COUNTIF(O$2:O239, TRUE)/(COUNTIF(O$2:O239,FALSE) + COUNTIF(O$2:O239, TRUE))</f>
        <v>0.48739495798319327</v>
      </c>
      <c r="Q239" s="176">
        <v>295609.99</v>
      </c>
      <c r="R239" s="176">
        <f t="shared" si="82"/>
        <v>65324.06</v>
      </c>
      <c r="S239" s="176">
        <v>-55468</v>
      </c>
      <c r="T239" s="176">
        <f t="shared" si="83"/>
        <v>16402.049999999988</v>
      </c>
      <c r="U239" s="188">
        <f>STDEV(D$2:D239)*SQRT(252)</f>
        <v>0.17502999912472075</v>
      </c>
      <c r="V239" s="188">
        <f>STDEV(L$2:L239)*SQRT(252)</f>
        <v>0.37331560015373266</v>
      </c>
      <c r="W239" s="186">
        <f t="shared" si="71"/>
        <v>-0.26161477034386266</v>
      </c>
    </row>
    <row r="240" spans="2:23" ht="20.100000000000001" customHeight="1" x14ac:dyDescent="0.25">
      <c r="B240" s="175">
        <v>42578</v>
      </c>
      <c r="C240" s="219">
        <v>2166.58</v>
      </c>
      <c r="D240" s="174">
        <f t="shared" si="70"/>
        <v>-1.1986096128490532E-3</v>
      </c>
      <c r="E240" s="213">
        <f t="shared" si="77"/>
        <v>3.0507410437396486E-2</v>
      </c>
      <c r="F240" s="223">
        <v>5139.8100000000004</v>
      </c>
      <c r="G240" s="174">
        <f t="shared" si="64"/>
        <v>5.8257860995218113E-3</v>
      </c>
      <c r="H240" s="207">
        <f t="shared" si="78"/>
        <v>9.4487106467389254E-3</v>
      </c>
      <c r="I240" s="225">
        <f>351218.55-2.4</f>
        <v>351216.14999999997</v>
      </c>
      <c r="J240" s="176">
        <v>400000</v>
      </c>
      <c r="K240" s="176">
        <f t="shared" si="79"/>
        <v>-9717.9000000000233</v>
      </c>
      <c r="L240" s="174">
        <f t="shared" si="75"/>
        <v>-2.6924309302488982E-2</v>
      </c>
      <c r="M240" s="186">
        <f t="shared" si="80"/>
        <v>-48783.850000000035</v>
      </c>
      <c r="N240" s="188">
        <f t="shared" si="76"/>
        <v>-0.12195962500000009</v>
      </c>
      <c r="O240" s="186" t="b">
        <f t="shared" si="81"/>
        <v>0</v>
      </c>
      <c r="P240" s="188">
        <f>COUNTIF(O$2:O240, TRUE)/(COUNTIF(O$2:O240,FALSE) + COUNTIF(O$2:O240, TRUE))</f>
        <v>0.48535564853556484</v>
      </c>
      <c r="Q240" s="176">
        <v>295103.78999999998</v>
      </c>
      <c r="R240" s="176">
        <f t="shared" si="82"/>
        <v>56112.359999999986</v>
      </c>
      <c r="S240" s="176">
        <v>-64415</v>
      </c>
      <c r="T240" s="176">
        <f t="shared" si="83"/>
        <v>15631.149999999965</v>
      </c>
      <c r="U240" s="188">
        <f>STDEV(D$2:D240)*SQRT(252)</f>
        <v>0.17466621287076281</v>
      </c>
      <c r="V240" s="188">
        <f>STDEV(L$2:L240)*SQRT(252)</f>
        <v>0.37357383869513988</v>
      </c>
      <c r="W240" s="186">
        <f t="shared" si="71"/>
        <v>-0.32646725323698839</v>
      </c>
    </row>
    <row r="241" spans="1:23" ht="20.100000000000001" customHeight="1" x14ac:dyDescent="0.25">
      <c r="B241" s="175">
        <v>42579</v>
      </c>
      <c r="C241" s="219">
        <v>2170.06</v>
      </c>
      <c r="D241" s="174">
        <f t="shared" si="70"/>
        <v>1.6062180948776498E-3</v>
      </c>
      <c r="E241" s="213">
        <f t="shared" si="77"/>
        <v>3.2162630086946545E-2</v>
      </c>
      <c r="F241" s="223">
        <v>5154.9799999999996</v>
      </c>
      <c r="G241" s="174">
        <f t="shared" si="64"/>
        <v>2.9514709687710563E-3</v>
      </c>
      <c r="H241" s="207">
        <f t="shared" si="78"/>
        <v>1.2428069210676148E-2</v>
      </c>
      <c r="I241" s="225">
        <v>351887.73</v>
      </c>
      <c r="J241" s="176">
        <v>400000</v>
      </c>
      <c r="K241" s="176">
        <f t="shared" si="79"/>
        <v>671.5800000000163</v>
      </c>
      <c r="L241" s="174">
        <f t="shared" si="75"/>
        <v>1.9121558049082206E-3</v>
      </c>
      <c r="M241" s="186">
        <f t="shared" si="80"/>
        <v>-48112.270000000019</v>
      </c>
      <c r="N241" s="188">
        <f t="shared" si="76"/>
        <v>-0.12028067500000005</v>
      </c>
      <c r="O241" s="186" t="b">
        <f t="shared" si="81"/>
        <v>1</v>
      </c>
      <c r="P241" s="188">
        <f>COUNTIF(O$2:O241, TRUE)/(COUNTIF(O$2:O241,FALSE) + COUNTIF(O$2:O241, TRUE))</f>
        <v>0.48749999999999999</v>
      </c>
      <c r="Q241" s="176">
        <v>306491.34999999998</v>
      </c>
      <c r="R241" s="176">
        <f t="shared" si="82"/>
        <v>45396.380000000005</v>
      </c>
      <c r="S241" s="176">
        <v>-63248</v>
      </c>
      <c r="T241" s="176">
        <f t="shared" si="83"/>
        <v>15135.729999999981</v>
      </c>
      <c r="U241" s="188">
        <f>STDEV(D$2:D241)*SQRT(252)</f>
        <v>0.17430497581384302</v>
      </c>
      <c r="V241" s="188">
        <f>STDEV(L$2:L241)*SQRT(252)</f>
        <v>0.37279274055236694</v>
      </c>
      <c r="W241" s="186">
        <f t="shared" si="71"/>
        <v>-0.32264757844205921</v>
      </c>
    </row>
    <row r="242" spans="1:23" ht="20.100000000000001" customHeight="1" x14ac:dyDescent="0.25">
      <c r="B242" s="175">
        <v>42580</v>
      </c>
      <c r="C242" s="219">
        <v>2173.6</v>
      </c>
      <c r="D242" s="174">
        <f t="shared" si="70"/>
        <v>1.6312913007013464E-3</v>
      </c>
      <c r="E242" s="213">
        <f t="shared" si="77"/>
        <v>3.3846388006316397E-2</v>
      </c>
      <c r="F242" s="223">
        <v>5162.13</v>
      </c>
      <c r="G242" s="174">
        <f t="shared" si="64"/>
        <v>1.3870082910119044E-3</v>
      </c>
      <c r="H242" s="207">
        <f t="shared" si="78"/>
        <v>1.3832315336724531E-2</v>
      </c>
      <c r="I242" s="422">
        <v>352850.19</v>
      </c>
      <c r="J242" s="176">
        <v>400000</v>
      </c>
      <c r="K242" s="176">
        <f t="shared" si="79"/>
        <v>962.46000000002095</v>
      </c>
      <c r="L242" s="174">
        <f t="shared" si="75"/>
        <v>2.7351337314319569E-3</v>
      </c>
      <c r="M242" s="186">
        <f t="shared" si="80"/>
        <v>-47149.81</v>
      </c>
      <c r="N242" s="188">
        <f t="shared" si="76"/>
        <v>-0.11787452499999999</v>
      </c>
      <c r="O242" s="186" t="b">
        <f t="shared" si="81"/>
        <v>1</v>
      </c>
      <c r="P242" s="188">
        <f>COUNTIF(O$2:O242, TRUE)/(COUNTIF(O$2:O242,FALSE) + COUNTIF(O$2:O242, TRUE))</f>
        <v>0.48962655601659749</v>
      </c>
      <c r="Q242" s="176">
        <v>298371.77</v>
      </c>
      <c r="R242" s="176">
        <f t="shared" si="82"/>
        <v>54478.419999999984</v>
      </c>
      <c r="S242" s="176">
        <v>-61571</v>
      </c>
      <c r="T242" s="176">
        <f t="shared" si="83"/>
        <v>14421.190000000002</v>
      </c>
      <c r="U242" s="188">
        <f>STDEV(D$2:D242)*SQRT(252)</f>
        <v>0.173946186031568</v>
      </c>
      <c r="V242" s="188">
        <f>STDEV(L$2:L242)*SQRT(252)</f>
        <v>0.37202162492103208</v>
      </c>
      <c r="W242" s="186">
        <f t="shared" si="71"/>
        <v>-0.3168485838021402</v>
      </c>
    </row>
    <row r="243" spans="1:23" ht="20.100000000000001" customHeight="1" x14ac:dyDescent="0.25">
      <c r="B243" s="248">
        <v>42583</v>
      </c>
      <c r="C243" s="249">
        <v>2170.84</v>
      </c>
      <c r="D243" s="174">
        <f t="shared" si="70"/>
        <v>-1.2697828487301084E-3</v>
      </c>
      <c r="E243" s="250">
        <f t="shared" si="77"/>
        <v>3.253362759460441E-2</v>
      </c>
      <c r="F243" s="251">
        <v>5184.1899999999996</v>
      </c>
      <c r="G243" s="174">
        <f t="shared" si="64"/>
        <v>4.2734297663947806E-3</v>
      </c>
      <c r="H243" s="252">
        <f t="shared" si="78"/>
        <v>1.8164856531217428E-2</v>
      </c>
      <c r="I243" s="253">
        <v>345131.68</v>
      </c>
      <c r="J243" s="254">
        <v>400000</v>
      </c>
      <c r="K243" s="254">
        <f t="shared" si="79"/>
        <v>-7718.5100000000093</v>
      </c>
      <c r="L243" s="174">
        <f t="shared" si="75"/>
        <v>-2.1874750868066725E-2</v>
      </c>
      <c r="M243" s="255">
        <f t="shared" si="80"/>
        <v>-54868.320000000007</v>
      </c>
      <c r="N243" s="256">
        <f t="shared" si="76"/>
        <v>-0.13717080000000001</v>
      </c>
      <c r="O243" s="255" t="b">
        <f t="shared" si="81"/>
        <v>0</v>
      </c>
      <c r="P243" s="256">
        <f>COUNTIF(O$2:O243, TRUE)/(COUNTIF(O$2:O243,FALSE) + COUNTIF(O$2:O243, TRUE))</f>
        <v>0.48760330578512395</v>
      </c>
      <c r="Q243" s="254">
        <v>293278.65999999997</v>
      </c>
      <c r="R243" s="254">
        <f t="shared" ref="R243:R251" si="84">I243-Q243</f>
        <v>51853.020000000019</v>
      </c>
      <c r="S243" s="254">
        <v>-69701</v>
      </c>
      <c r="T243" s="254">
        <f t="shared" ref="T243:T251" si="85">M243-S243</f>
        <v>14832.679999999993</v>
      </c>
      <c r="U243" s="256">
        <f>STDEV(D$2:D243)*SQRT(252)</f>
        <v>0.17358991388387063</v>
      </c>
      <c r="V243" s="256">
        <f>STDEV(L$2:L243)*SQRT(252)</f>
        <v>0.37192751121581696</v>
      </c>
      <c r="W243" s="255">
        <f t="shared" si="71"/>
        <v>-0.36881057696322023</v>
      </c>
    </row>
    <row r="244" spans="1:23" ht="20.100000000000001" customHeight="1" x14ac:dyDescent="0.25">
      <c r="B244" s="248">
        <v>42584</v>
      </c>
      <c r="C244" s="249">
        <v>2157.0300000000002</v>
      </c>
      <c r="D244" s="174">
        <f t="shared" si="70"/>
        <v>-6.3615927475078517E-3</v>
      </c>
      <c r="E244" s="250">
        <f t="shared" si="77"/>
        <v>2.5965069157740599E-2</v>
      </c>
      <c r="F244" s="251">
        <v>5137.7299999999996</v>
      </c>
      <c r="G244" s="174">
        <f t="shared" si="64"/>
        <v>-8.9618628946855801E-3</v>
      </c>
      <c r="H244" s="252">
        <f t="shared" si="78"/>
        <v>9.0402026827974442E-3</v>
      </c>
      <c r="I244" s="253">
        <v>341216.81</v>
      </c>
      <c r="J244" s="254">
        <v>400000</v>
      </c>
      <c r="K244" s="254">
        <f t="shared" si="79"/>
        <v>-3914.8699999999953</v>
      </c>
      <c r="L244" s="174">
        <f t="shared" si="75"/>
        <v>-1.1343119820237875E-2</v>
      </c>
      <c r="M244" s="255">
        <f t="shared" si="80"/>
        <v>-58783.19</v>
      </c>
      <c r="N244" s="256">
        <f t="shared" si="76"/>
        <v>-0.14695797500000002</v>
      </c>
      <c r="O244" s="255" t="b">
        <f t="shared" si="81"/>
        <v>0</v>
      </c>
      <c r="P244" s="256">
        <f>COUNTIF(O$2:O244, TRUE)/(COUNTIF(O$2:O244,FALSE) + COUNTIF(O$2:O244, TRUE))</f>
        <v>0.48559670781893005</v>
      </c>
      <c r="Q244" s="254">
        <v>294933.84999999998</v>
      </c>
      <c r="R244" s="254">
        <f t="shared" si="84"/>
        <v>46282.960000000021</v>
      </c>
      <c r="S244" s="254">
        <v>-70463</v>
      </c>
      <c r="T244" s="254">
        <f t="shared" si="85"/>
        <v>11679.809999999998</v>
      </c>
      <c r="U244" s="256">
        <f>STDEV(D$2:D244)*SQRT(252)</f>
        <v>0.17335845617207907</v>
      </c>
      <c r="V244" s="256">
        <f>STDEV(L$2:L244)*SQRT(252)</f>
        <v>0.37133699496327655</v>
      </c>
      <c r="W244" s="255">
        <f t="shared" si="71"/>
        <v>-0.39575366040362731</v>
      </c>
    </row>
    <row r="245" spans="1:23" ht="20.100000000000001" customHeight="1" x14ac:dyDescent="0.25">
      <c r="B245" s="248">
        <v>42585</v>
      </c>
      <c r="C245" s="249">
        <v>2163.79</v>
      </c>
      <c r="D245" s="174">
        <f t="shared" si="70"/>
        <v>3.1339387954732955E-3</v>
      </c>
      <c r="E245" s="250">
        <f t="shared" si="77"/>
        <v>2.9180380890774484E-2</v>
      </c>
      <c r="F245" s="251">
        <v>5159.7299999999996</v>
      </c>
      <c r="G245" s="174">
        <f t="shared" si="64"/>
        <v>4.2820467404865578E-3</v>
      </c>
      <c r="H245" s="252">
        <f t="shared" si="78"/>
        <v>1.3360959993715213E-2</v>
      </c>
      <c r="I245" s="253">
        <v>347416.57</v>
      </c>
      <c r="J245" s="254">
        <v>400000</v>
      </c>
      <c r="K245" s="254">
        <f t="shared" si="79"/>
        <v>6199.7600000000093</v>
      </c>
      <c r="L245" s="174">
        <f t="shared" si="75"/>
        <v>1.8169562044730473E-2</v>
      </c>
      <c r="M245" s="255">
        <f t="shared" si="80"/>
        <v>-52583.429999999993</v>
      </c>
      <c r="N245" s="256">
        <f t="shared" si="76"/>
        <v>-0.13145857499999999</v>
      </c>
      <c r="O245" s="255" t="b">
        <f t="shared" si="81"/>
        <v>1</v>
      </c>
      <c r="P245" s="256">
        <f>COUNTIF(O$2:O245, TRUE)/(COUNTIF(O$2:O245,FALSE) + COUNTIF(O$2:O245, TRUE))</f>
        <v>0.48770491803278687</v>
      </c>
      <c r="Q245" s="254">
        <v>306485.61</v>
      </c>
      <c r="R245" s="254">
        <f t="shared" si="84"/>
        <v>40930.960000000021</v>
      </c>
      <c r="S245" s="254">
        <v>-64757</v>
      </c>
      <c r="T245" s="254">
        <f t="shared" si="85"/>
        <v>12173.570000000007</v>
      </c>
      <c r="U245" s="256">
        <f>STDEV(D$2:D245)*SQRT(252)</f>
        <v>0.17302631654204345</v>
      </c>
      <c r="V245" s="256">
        <f>STDEV(L$2:L245)*SQRT(252)</f>
        <v>0.37103067638911486</v>
      </c>
      <c r="W245" s="255">
        <f t="shared" si="71"/>
        <v>-0.35430648559671674</v>
      </c>
    </row>
    <row r="246" spans="1:23" ht="20.100000000000001" customHeight="1" x14ac:dyDescent="0.25">
      <c r="B246" s="248">
        <v>42586</v>
      </c>
      <c r="C246" s="249">
        <v>2164.25</v>
      </c>
      <c r="D246" s="174">
        <f t="shared" si="70"/>
        <v>2.1258994634416298E-4</v>
      </c>
      <c r="E246" s="250">
        <f t="shared" si="77"/>
        <v>2.939917429272652E-2</v>
      </c>
      <c r="F246" s="251">
        <v>5166.24</v>
      </c>
      <c r="G246" s="174">
        <f t="shared" si="64"/>
        <v>1.2616939258449993E-3</v>
      </c>
      <c r="H246" s="252">
        <f t="shared" si="78"/>
        <v>1.4639511361627741E-2</v>
      </c>
      <c r="I246" s="253">
        <v>348668.66</v>
      </c>
      <c r="J246" s="254">
        <v>400000</v>
      </c>
      <c r="K246" s="254">
        <f t="shared" si="79"/>
        <v>1252.0899999999674</v>
      </c>
      <c r="L246" s="174">
        <f t="shared" si="75"/>
        <v>3.6040019622551895E-3</v>
      </c>
      <c r="M246" s="255">
        <f t="shared" si="80"/>
        <v>-51331.340000000026</v>
      </c>
      <c r="N246" s="256">
        <f t="shared" si="76"/>
        <v>-0.12832835000000006</v>
      </c>
      <c r="O246" s="255" t="b">
        <f t="shared" si="81"/>
        <v>1</v>
      </c>
      <c r="P246" s="256">
        <f>COUNTIF(O$2:O246, TRUE)/(COUNTIF(O$2:O246,FALSE) + COUNTIF(O$2:O246, TRUE))</f>
        <v>0.48979591836734693</v>
      </c>
      <c r="Q246" s="254">
        <v>306486.61</v>
      </c>
      <c r="R246" s="254">
        <f t="shared" si="84"/>
        <v>42182.049999999988</v>
      </c>
      <c r="S246" s="254">
        <v>-64756</v>
      </c>
      <c r="T246" s="254">
        <f t="shared" si="85"/>
        <v>13424.659999999974</v>
      </c>
      <c r="U246" s="256">
        <f>STDEV(D$2:D246)*SQRT(252)</f>
        <v>0.1726699319358726</v>
      </c>
      <c r="V246" s="256">
        <f>STDEV(L$2:L246)*SQRT(252)</f>
        <v>0.37028383202660053</v>
      </c>
      <c r="W246" s="255">
        <f t="shared" si="71"/>
        <v>-0.34656752172420313</v>
      </c>
    </row>
    <row r="247" spans="1:23" ht="20.100000000000001" customHeight="1" x14ac:dyDescent="0.25">
      <c r="B247" s="248">
        <v>42587</v>
      </c>
      <c r="C247" s="249">
        <v>2182.87</v>
      </c>
      <c r="D247" s="174">
        <f t="shared" si="70"/>
        <v>8.6034423010280196E-3</v>
      </c>
      <c r="E247" s="250">
        <f t="shared" si="77"/>
        <v>3.8255550693479877E-2</v>
      </c>
      <c r="F247" s="251">
        <v>5221.12</v>
      </c>
      <c r="G247" s="174">
        <f t="shared" si="64"/>
        <v>1.0622812722599049E-2</v>
      </c>
      <c r="H247" s="252">
        <f t="shared" si="78"/>
        <v>2.5417836871771723E-2</v>
      </c>
      <c r="I247" s="253">
        <v>357514.04</v>
      </c>
      <c r="J247" s="254">
        <v>400000</v>
      </c>
      <c r="K247" s="254">
        <f t="shared" si="79"/>
        <v>8845.3800000000047</v>
      </c>
      <c r="L247" s="174">
        <f t="shared" si="75"/>
        <v>2.5369013664721128E-2</v>
      </c>
      <c r="M247" s="255">
        <f t="shared" si="80"/>
        <v>-42485.960000000021</v>
      </c>
      <c r="N247" s="256">
        <f t="shared" si="76"/>
        <v>-0.10621490000000006</v>
      </c>
      <c r="O247" s="255" t="b">
        <f t="shared" si="81"/>
        <v>1</v>
      </c>
      <c r="P247" s="256">
        <f>COUNTIF(O$2:O247, TRUE)/(COUNTIF(O$2:O247,FALSE) + COUNTIF(O$2:O247, TRUE))</f>
        <v>0.491869918699187</v>
      </c>
      <c r="Q247" s="254">
        <v>296324.56</v>
      </c>
      <c r="R247" s="254">
        <f t="shared" si="84"/>
        <v>61189.479999999981</v>
      </c>
      <c r="S247" s="254">
        <v>-56695</v>
      </c>
      <c r="T247" s="254">
        <f t="shared" si="85"/>
        <v>14209.039999999979</v>
      </c>
      <c r="U247" s="256">
        <f>STDEV(D$2:D247)*SQRT(252)</f>
        <v>0.17252748561218473</v>
      </c>
      <c r="V247" s="256">
        <f>STDEV(L$2:L247)*SQRT(252)</f>
        <v>0.37041269754030803</v>
      </c>
      <c r="W247" s="255">
        <f t="shared" si="71"/>
        <v>-0.28674745953718778</v>
      </c>
    </row>
    <row r="248" spans="1:23" ht="20.100000000000001" customHeight="1" x14ac:dyDescent="0.25">
      <c r="B248" s="175">
        <v>42590</v>
      </c>
      <c r="C248" s="219">
        <v>2180.89</v>
      </c>
      <c r="D248" s="174">
        <f t="shared" si="70"/>
        <v>-9.0706272018032145E-4</v>
      </c>
      <c r="E248" s="213">
        <f t="shared" si="77"/>
        <v>3.7313787789425533E-2</v>
      </c>
      <c r="F248" s="223">
        <v>5213.1400000000003</v>
      </c>
      <c r="G248" s="174">
        <f t="shared" si="64"/>
        <v>-1.528407697965104E-3</v>
      </c>
      <c r="H248" s="207">
        <f t="shared" si="78"/>
        <v>2.3850580356266179E-2</v>
      </c>
      <c r="I248" s="225">
        <v>360717.48</v>
      </c>
      <c r="J248" s="176">
        <v>400000</v>
      </c>
      <c r="K248" s="176">
        <f t="shared" si="79"/>
        <v>3203.4400000000023</v>
      </c>
      <c r="L248" s="174">
        <f>K248/I247</f>
        <v>8.9603194324899878E-3</v>
      </c>
      <c r="M248" s="186">
        <f t="shared" si="80"/>
        <v>-39282.520000000019</v>
      </c>
      <c r="N248" s="188">
        <f t="shared" si="76"/>
        <v>-9.8206300000000052E-2</v>
      </c>
      <c r="O248" s="186" t="b">
        <f t="shared" si="81"/>
        <v>1</v>
      </c>
      <c r="P248" s="188">
        <f>COUNTIF(O$2:O248, TRUE)/(COUNTIF(O$2:O248,FALSE) + COUNTIF(O$2:O248, TRUE))</f>
        <v>0.49392712550607287</v>
      </c>
      <c r="Q248" s="176">
        <v>306053.2</v>
      </c>
      <c r="R248" s="176">
        <f t="shared" si="84"/>
        <v>54664.27999999997</v>
      </c>
      <c r="S248" s="176">
        <v>-53403</v>
      </c>
      <c r="T248" s="176">
        <f t="shared" si="85"/>
        <v>14120.479999999981</v>
      </c>
      <c r="U248" s="188">
        <f>STDEV(D$2:D248)*SQRT(252)</f>
        <v>0.17217875518634856</v>
      </c>
      <c r="V248" s="188">
        <f>STDEV(L$2:L248)*SQRT(252)</f>
        <v>0.36976250802064314</v>
      </c>
      <c r="W248" s="186">
        <f t="shared" si="71"/>
        <v>-0.26559290860964568</v>
      </c>
    </row>
    <row r="249" spans="1:23" ht="20.100000000000001" customHeight="1" x14ac:dyDescent="0.25">
      <c r="B249" s="175">
        <v>42591</v>
      </c>
      <c r="C249" s="219">
        <v>2181.89</v>
      </c>
      <c r="D249" s="174">
        <f t="shared" si="70"/>
        <v>4.5852839895638939E-4</v>
      </c>
      <c r="E249" s="213">
        <f t="shared" si="77"/>
        <v>3.7789425619756005E-2</v>
      </c>
      <c r="F249" s="223">
        <v>5214.1400000000003</v>
      </c>
      <c r="G249" s="174">
        <f t="shared" si="64"/>
        <v>1.9182297041706148E-4</v>
      </c>
      <c r="H249" s="207">
        <f t="shared" si="78"/>
        <v>2.4046978415853352E-2</v>
      </c>
      <c r="I249" s="225">
        <v>360792.14</v>
      </c>
      <c r="J249" s="176">
        <v>400000</v>
      </c>
      <c r="K249" s="176">
        <f t="shared" si="79"/>
        <v>74.660000000032596</v>
      </c>
      <c r="L249" s="174">
        <f t="shared" ref="L249:L260" si="86">K249/I248</f>
        <v>2.0697638495376658E-4</v>
      </c>
      <c r="M249" s="186">
        <f t="shared" si="80"/>
        <v>-39207.859999999986</v>
      </c>
      <c r="N249" s="188">
        <f t="shared" si="76"/>
        <v>-9.8019649999999958E-2</v>
      </c>
      <c r="O249" s="186" t="b">
        <f t="shared" si="81"/>
        <v>0</v>
      </c>
      <c r="P249" s="188">
        <f>COUNTIF(O$2:O249, TRUE)/(COUNTIF(O$2:O249,FALSE) + COUNTIF(O$2:O249, TRUE))</f>
        <v>0.49193548387096775</v>
      </c>
      <c r="Q249" s="176">
        <v>312485.65999999997</v>
      </c>
      <c r="R249" s="176">
        <f t="shared" si="84"/>
        <v>48306.48000000004</v>
      </c>
      <c r="S249" s="176">
        <v>-52872</v>
      </c>
      <c r="T249" s="176">
        <f t="shared" si="85"/>
        <v>13664.140000000014</v>
      </c>
      <c r="U249" s="188">
        <f>STDEV(D$2:D249)*SQRT(252)</f>
        <v>0.17182862889451342</v>
      </c>
      <c r="V249" s="188">
        <f>STDEV(L$2:L249)*SQRT(252)</f>
        <v>0.36901019344056429</v>
      </c>
      <c r="W249" s="186">
        <f t="shared" si="71"/>
        <v>-0.26562857000260015</v>
      </c>
    </row>
    <row r="250" spans="1:23" ht="20.100000000000001" customHeight="1" x14ac:dyDescent="0.25">
      <c r="B250" s="175">
        <v>42592</v>
      </c>
      <c r="C250" s="219">
        <v>2175.4899999999998</v>
      </c>
      <c r="D250" s="174">
        <f t="shared" si="70"/>
        <v>-2.9332367809560022E-3</v>
      </c>
      <c r="E250" s="213">
        <f t="shared" si="77"/>
        <v>3.4745343505640937E-2</v>
      </c>
      <c r="F250" s="223">
        <v>5204.58</v>
      </c>
      <c r="G250" s="174">
        <f t="shared" si="64"/>
        <v>-1.8334758943949338E-3</v>
      </c>
      <c r="H250" s="207">
        <f t="shared" si="78"/>
        <v>2.2169412966199915E-2</v>
      </c>
      <c r="I250" s="225">
        <v>354430.79</v>
      </c>
      <c r="J250" s="176">
        <v>400000</v>
      </c>
      <c r="K250" s="176">
        <f t="shared" si="79"/>
        <v>-6361.3500000000349</v>
      </c>
      <c r="L250" s="174">
        <f t="shared" si="86"/>
        <v>-1.7631620245385709E-2</v>
      </c>
      <c r="M250" s="186">
        <f t="shared" si="80"/>
        <v>-45569.210000000021</v>
      </c>
      <c r="N250" s="188">
        <f t="shared" si="76"/>
        <v>-0.11392302500000005</v>
      </c>
      <c r="O250" s="186" t="b">
        <f t="shared" si="81"/>
        <v>0</v>
      </c>
      <c r="P250" s="188">
        <f>COUNTIF(O$2:O250, TRUE)/(COUNTIF(O$2:O250,FALSE) + COUNTIF(O$2:O250, TRUE))</f>
        <v>0.48995983935742971</v>
      </c>
      <c r="Q250" s="176">
        <v>304644.53999999998</v>
      </c>
      <c r="R250" s="176">
        <f t="shared" si="84"/>
        <v>49786.25</v>
      </c>
      <c r="S250" s="176">
        <v>-58573</v>
      </c>
      <c r="T250" s="176">
        <f t="shared" si="85"/>
        <v>13003.789999999979</v>
      </c>
      <c r="U250" s="188">
        <f>STDEV(D$2:D250)*SQRT(252)</f>
        <v>0.17150968940597233</v>
      </c>
      <c r="V250" s="188">
        <f>STDEV(L$2:L250)*SQRT(252)</f>
        <v>0.36870219429475543</v>
      </c>
      <c r="W250" s="186">
        <f t="shared" si="71"/>
        <v>-0.30898385407743301</v>
      </c>
    </row>
    <row r="251" spans="1:23" ht="20.100000000000001" customHeight="1" x14ac:dyDescent="0.25">
      <c r="A251" s="169" t="s">
        <v>265</v>
      </c>
      <c r="B251" s="248">
        <v>42597</v>
      </c>
      <c r="C251" s="249">
        <v>2190.15</v>
      </c>
      <c r="D251" s="174">
        <f t="shared" si="70"/>
        <v>6.7387117385050311E-3</v>
      </c>
      <c r="E251" s="250">
        <f t="shared" si="77"/>
        <v>4.1718194098285817E-2</v>
      </c>
      <c r="F251" s="251">
        <v>5262.01</v>
      </c>
      <c r="G251" s="174">
        <f t="shared" si="64"/>
        <v>1.1034511910663356E-2</v>
      </c>
      <c r="H251" s="252">
        <f t="shared" si="78"/>
        <v>3.3448553528291222E-2</v>
      </c>
      <c r="I251" s="253">
        <v>368660.8</v>
      </c>
      <c r="J251" s="254">
        <v>400000</v>
      </c>
      <c r="K251" s="254">
        <f t="shared" si="79"/>
        <v>14230.010000000009</v>
      </c>
      <c r="L251" s="174">
        <f t="shared" si="86"/>
        <v>4.0148910313350626E-2</v>
      </c>
      <c r="M251" s="255">
        <f t="shared" si="80"/>
        <v>-31339.200000000012</v>
      </c>
      <c r="N251" s="256">
        <f t="shared" si="76"/>
        <v>-7.8348000000000029E-2</v>
      </c>
      <c r="O251" s="255" t="b">
        <f t="shared" si="81"/>
        <v>1</v>
      </c>
      <c r="P251" s="256">
        <f>COUNTIF(O$2:O251, TRUE)/(COUNTIF(O$2:O251,FALSE) + COUNTIF(O$2:O251, TRUE))</f>
        <v>0.49199999999999999</v>
      </c>
      <c r="Q251" s="254">
        <v>269504.8</v>
      </c>
      <c r="R251" s="254">
        <f t="shared" si="84"/>
        <v>99156</v>
      </c>
      <c r="S251" s="254">
        <v>-45515</v>
      </c>
      <c r="T251" s="254">
        <f t="shared" si="85"/>
        <v>14175.799999999988</v>
      </c>
      <c r="U251" s="256">
        <f>STDEV(D$2:D251)*SQRT(252)</f>
        <v>0.17129006286582368</v>
      </c>
      <c r="V251" s="256">
        <f>STDEV(L$2:L251)*SQRT(252)</f>
        <v>0.37015124159076757</v>
      </c>
      <c r="W251" s="255">
        <f t="shared" si="71"/>
        <v>-0.2116648310114819</v>
      </c>
    </row>
    <row r="252" spans="1:23" ht="20.100000000000001" customHeight="1" x14ac:dyDescent="0.25">
      <c r="B252" s="248">
        <v>42598</v>
      </c>
      <c r="C252" s="249">
        <v>2178.15</v>
      </c>
      <c r="D252" s="174">
        <f t="shared" si="70"/>
        <v>-5.479076775563317E-3</v>
      </c>
      <c r="E252" s="250">
        <f t="shared" si="77"/>
        <v>3.6010540134320139E-2</v>
      </c>
      <c r="F252" s="251">
        <v>5227.1099999999997</v>
      </c>
      <c r="G252" s="174">
        <f t="shared" si="64"/>
        <v>-6.6324465365897338E-3</v>
      </c>
      <c r="H252" s="252">
        <f t="shared" si="78"/>
        <v>2.6594261248698837E-2</v>
      </c>
      <c r="I252" s="253">
        <f>368660.8+2262.39</f>
        <v>370923.19</v>
      </c>
      <c r="J252" s="254">
        <v>400000</v>
      </c>
      <c r="K252" s="254">
        <f t="shared" si="79"/>
        <v>2262.390000000014</v>
      </c>
      <c r="L252" s="174">
        <f t="shared" si="86"/>
        <v>6.1367793917878281E-3</v>
      </c>
      <c r="M252" s="255">
        <f t="shared" si="80"/>
        <v>-29076.809999999998</v>
      </c>
      <c r="N252" s="256">
        <f t="shared" si="76"/>
        <v>-7.2692024999999993E-2</v>
      </c>
      <c r="O252" s="255" t="b">
        <f t="shared" si="81"/>
        <v>1</v>
      </c>
      <c r="P252" s="256">
        <f>COUNTIF(O$2:O252, TRUE)/(COUNTIF(O$2:O252,FALSE) + COUNTIF(O$2:O252, TRUE))</f>
        <v>0.49402390438247012</v>
      </c>
      <c r="Q252" s="254"/>
      <c r="R252" s="254"/>
      <c r="S252" s="254"/>
      <c r="T252" s="254"/>
      <c r="U252" s="256">
        <f>STDEV(D$2:D252)*SQRT(252)</f>
        <v>0.17104156878989371</v>
      </c>
      <c r="V252" s="256">
        <f>STDEV(L$2:L252)*SQRT(252)</f>
        <v>0.36945344751699344</v>
      </c>
      <c r="W252" s="255">
        <f t="shared" si="71"/>
        <v>-0.19675557364140292</v>
      </c>
    </row>
    <row r="253" spans="1:23" ht="20.100000000000001" customHeight="1" x14ac:dyDescent="0.25">
      <c r="B253" s="248">
        <v>42599</v>
      </c>
      <c r="C253" s="249">
        <v>2182.2199999999998</v>
      </c>
      <c r="D253" s="174">
        <f t="shared" si="70"/>
        <v>1.8685581801068378E-3</v>
      </c>
      <c r="E253" s="250">
        <f t="shared" si="77"/>
        <v>3.794638610376503E-2</v>
      </c>
      <c r="F253" s="251">
        <v>5228.6499999999996</v>
      </c>
      <c r="G253" s="174">
        <f t="shared" si="64"/>
        <v>2.946178672344687E-4</v>
      </c>
      <c r="H253" s="252">
        <f t="shared" si="78"/>
        <v>2.6896714260463073E-2</v>
      </c>
      <c r="I253" s="253">
        <v>375295.13</v>
      </c>
      <c r="J253" s="254">
        <v>400000</v>
      </c>
      <c r="K253" s="254">
        <f t="shared" si="79"/>
        <v>4371.9400000000023</v>
      </c>
      <c r="L253" s="174">
        <f t="shared" si="86"/>
        <v>1.1786645100296917E-2</v>
      </c>
      <c r="M253" s="255">
        <f t="shared" si="80"/>
        <v>-24704.869999999995</v>
      </c>
      <c r="N253" s="256">
        <f t="shared" si="76"/>
        <v>-6.1762174999999989E-2</v>
      </c>
      <c r="O253" s="255" t="b">
        <f t="shared" si="81"/>
        <v>1</v>
      </c>
      <c r="P253" s="256">
        <f>COUNTIF(O$2:O253, TRUE)/(COUNTIF(O$2:O253,FALSE) + COUNTIF(O$2:O253, TRUE))</f>
        <v>0.49603174603174605</v>
      </c>
      <c r="Q253" s="254">
        <v>255293.6</v>
      </c>
      <c r="R253" s="254">
        <f t="shared" ref="R253:R284" si="87">I253-Q253</f>
        <v>120001.53</v>
      </c>
      <c r="S253" s="254">
        <v>-39008</v>
      </c>
      <c r="T253" s="254">
        <f t="shared" ref="T253:T284" si="88">M253-S253</f>
        <v>14303.130000000005</v>
      </c>
      <c r="U253" s="256">
        <f>STDEV(D$2:D253)*SQRT(252)</f>
        <v>0.17070733564482474</v>
      </c>
      <c r="V253" s="256">
        <f>STDEV(L$2:L253)*SQRT(252)</f>
        <v>0.36889217852396583</v>
      </c>
      <c r="W253" s="255">
        <f t="shared" si="71"/>
        <v>-0.1674260897781206</v>
      </c>
    </row>
    <row r="254" spans="1:23" ht="20.100000000000001" customHeight="1" x14ac:dyDescent="0.25">
      <c r="B254" s="248">
        <v>42600</v>
      </c>
      <c r="C254" s="249">
        <v>2187.02</v>
      </c>
      <c r="D254" s="174">
        <f t="shared" si="70"/>
        <v>2.1995949079378716E-3</v>
      </c>
      <c r="E254" s="250">
        <f t="shared" si="77"/>
        <v>4.0229447689351383E-2</v>
      </c>
      <c r="F254" s="251">
        <v>5240.1400000000003</v>
      </c>
      <c r="G254" s="174">
        <f t="shared" si="64"/>
        <v>2.1975079609460745E-3</v>
      </c>
      <c r="H254" s="252">
        <f t="shared" si="78"/>
        <v>2.9153327965119807E-2</v>
      </c>
      <c r="I254" s="253">
        <v>382262.83</v>
      </c>
      <c r="J254" s="254">
        <v>400000</v>
      </c>
      <c r="K254" s="254">
        <f t="shared" si="79"/>
        <v>6967.7000000000116</v>
      </c>
      <c r="L254" s="174">
        <f t="shared" si="86"/>
        <v>1.8565921705405587E-2</v>
      </c>
      <c r="M254" s="255">
        <f t="shared" ref="M254:M259" si="89">I254-J254</f>
        <v>-17737.169999999984</v>
      </c>
      <c r="N254" s="256">
        <f t="shared" ref="N254:N285" si="90">M254/J254</f>
        <v>-4.4342924999999957E-2</v>
      </c>
      <c r="O254" s="255" t="b">
        <f t="shared" si="81"/>
        <v>1</v>
      </c>
      <c r="P254" s="256">
        <f>COUNTIF(O$2:O254, TRUE)/(COUNTIF(O$2:O254,FALSE) + COUNTIF(O$2:O254, TRUE))</f>
        <v>0.49802371541501977</v>
      </c>
      <c r="Q254" s="254">
        <v>234684.9</v>
      </c>
      <c r="R254" s="254">
        <f t="shared" si="87"/>
        <v>147577.93000000002</v>
      </c>
      <c r="S254" s="254">
        <v>-32026</v>
      </c>
      <c r="T254" s="254">
        <f t="shared" si="88"/>
        <v>14288.830000000016</v>
      </c>
      <c r="U254" s="256">
        <f>STDEV(D$2:D254)*SQRT(252)</f>
        <v>0.17037860468394234</v>
      </c>
      <c r="V254" s="256">
        <f>STDEV(L$2:L254)*SQRT(252)</f>
        <v>0.36860527111095059</v>
      </c>
      <c r="W254" s="255">
        <f t="shared" si="71"/>
        <v>-0.12029921565243348</v>
      </c>
    </row>
    <row r="255" spans="1:23" ht="20.100000000000001" customHeight="1" x14ac:dyDescent="0.25">
      <c r="B255" s="248">
        <v>42601</v>
      </c>
      <c r="C255" s="249">
        <v>2183.87</v>
      </c>
      <c r="D255" s="174">
        <f t="shared" si="70"/>
        <v>-1.4403160464925291E-3</v>
      </c>
      <c r="E255" s="250">
        <f t="shared" si="77"/>
        <v>3.8731188523810349E-2</v>
      </c>
      <c r="F255" s="251">
        <v>5238.37</v>
      </c>
      <c r="G255" s="174">
        <f t="shared" si="64"/>
        <v>-3.377772349594546E-4</v>
      </c>
      <c r="H255" s="252">
        <f t="shared" si="78"/>
        <v>2.8805703399650426E-2</v>
      </c>
      <c r="I255" s="253">
        <v>382810.75</v>
      </c>
      <c r="J255" s="254">
        <v>400000</v>
      </c>
      <c r="K255" s="254">
        <f t="shared" si="79"/>
        <v>547.9199999999837</v>
      </c>
      <c r="L255" s="174">
        <f t="shared" si="86"/>
        <v>1.4333593459766509E-3</v>
      </c>
      <c r="M255" s="255">
        <f t="shared" si="89"/>
        <v>-17189.25</v>
      </c>
      <c r="N255" s="256">
        <f t="shared" si="90"/>
        <v>-4.2973125000000001E-2</v>
      </c>
      <c r="O255" s="255" t="b">
        <f t="shared" si="81"/>
        <v>1</v>
      </c>
      <c r="P255" s="256">
        <f>COUNTIF(O$2:O255, TRUE)/(COUNTIF(O$2:O255,FALSE) + COUNTIF(O$2:O255, TRUE))</f>
        <v>0.5</v>
      </c>
      <c r="Q255" s="254">
        <v>232963</v>
      </c>
      <c r="R255" s="254">
        <f t="shared" si="87"/>
        <v>149847.75</v>
      </c>
      <c r="S255" s="254">
        <v>-31491</v>
      </c>
      <c r="T255" s="254">
        <f t="shared" si="88"/>
        <v>14301.75</v>
      </c>
      <c r="U255" s="256">
        <f>STDEV(D$2:D255)*SQRT(252)</f>
        <v>0.17004823124419763</v>
      </c>
      <c r="V255" s="256">
        <f>STDEV(L$2:L255)*SQRT(252)</f>
        <v>0.36787447588145594</v>
      </c>
      <c r="W255" s="255">
        <f t="shared" si="71"/>
        <v>-0.11681464145353668</v>
      </c>
    </row>
    <row r="256" spans="1:23" ht="20.100000000000001" customHeight="1" x14ac:dyDescent="0.25">
      <c r="B256" s="175">
        <v>42604</v>
      </c>
      <c r="C256" s="219">
        <v>2182.64</v>
      </c>
      <c r="D256" s="174">
        <f t="shared" si="70"/>
        <v>-5.6322033820695291E-4</v>
      </c>
      <c r="E256" s="213">
        <f t="shared" ref="E256:E287" si="91">(C256-$C$2)/$C$2</f>
        <v>3.8146153992503859E-2</v>
      </c>
      <c r="F256" s="223">
        <v>5244.6</v>
      </c>
      <c r="G256" s="174">
        <f t="shared" ref="G256:G261" si="92">(F256-F255)/F255</f>
        <v>1.1893012521071388E-3</v>
      </c>
      <c r="H256" s="207">
        <f t="shared" ref="H256:H287" si="93">(F256-F$2)/F$2</f>
        <v>3.0029263310878598E-2</v>
      </c>
      <c r="I256" s="225">
        <v>377083.42</v>
      </c>
      <c r="J256" s="176">
        <v>400000</v>
      </c>
      <c r="K256" s="176">
        <f t="shared" ref="K256:K287" si="94">I256-I255-J256+J255</f>
        <v>-5727.3300000000163</v>
      </c>
      <c r="L256" s="174">
        <f t="shared" si="86"/>
        <v>-1.4961256965746171E-2</v>
      </c>
      <c r="M256" s="186">
        <f t="shared" si="89"/>
        <v>-22916.580000000016</v>
      </c>
      <c r="N256" s="188">
        <f t="shared" si="90"/>
        <v>-5.7291450000000042E-2</v>
      </c>
      <c r="O256" s="186" t="b">
        <f t="shared" ref="O256:O287" si="95">L256&gt;D256</f>
        <v>0</v>
      </c>
      <c r="P256" s="188">
        <f>COUNTIF(O$2:O256, TRUE)/(COUNTIF(O$2:O256,FALSE) + COUNTIF(O$2:O256, TRUE))</f>
        <v>0.49803921568627452</v>
      </c>
      <c r="Q256" s="176">
        <v>255242.1</v>
      </c>
      <c r="R256" s="176">
        <f t="shared" si="87"/>
        <v>121841.31999999998</v>
      </c>
      <c r="S256" s="176">
        <v>-37372</v>
      </c>
      <c r="T256" s="176">
        <f t="shared" si="88"/>
        <v>14455.419999999984</v>
      </c>
      <c r="U256" s="188">
        <f>STDEV(D$2:D256)*SQRT(252)</f>
        <v>0.1697135708935549</v>
      </c>
      <c r="V256" s="188">
        <f>STDEV(L$2:L256)*SQRT(252)</f>
        <v>0.36746793184663218</v>
      </c>
      <c r="W256" s="186">
        <f t="shared" si="71"/>
        <v>-0.15590870667841411</v>
      </c>
    </row>
    <row r="257" spans="2:23" ht="20.100000000000001" customHeight="1" x14ac:dyDescent="0.25">
      <c r="B257" s="175">
        <v>42605</v>
      </c>
      <c r="C257" s="219">
        <v>2186.9</v>
      </c>
      <c r="D257" s="174">
        <f t="shared" ref="D257:D263" si="96">(C257-C256)/C256</f>
        <v>1.951764835245491E-3</v>
      </c>
      <c r="E257" s="213">
        <f t="shared" si="91"/>
        <v>4.0172371149711783E-2</v>
      </c>
      <c r="F257" s="223">
        <v>5260.07</v>
      </c>
      <c r="G257" s="174">
        <f t="shared" si="92"/>
        <v>2.9497006444722845E-3</v>
      </c>
      <c r="H257" s="207">
        <f t="shared" si="93"/>
        <v>3.3067541292692008E-2</v>
      </c>
      <c r="I257" s="225">
        <v>383610.05</v>
      </c>
      <c r="J257" s="176">
        <v>400000</v>
      </c>
      <c r="K257" s="176">
        <f t="shared" si="94"/>
        <v>6526.6300000000047</v>
      </c>
      <c r="L257" s="174">
        <f t="shared" si="86"/>
        <v>1.7308186077234593E-2</v>
      </c>
      <c r="M257" s="186">
        <f t="shared" si="89"/>
        <v>-16389.950000000012</v>
      </c>
      <c r="N257" s="188">
        <f t="shared" si="90"/>
        <v>-4.0974875000000029E-2</v>
      </c>
      <c r="O257" s="186" t="b">
        <f t="shared" si="95"/>
        <v>1</v>
      </c>
      <c r="P257" s="188">
        <f>COUNTIF(O$2:O257, TRUE)/(COUNTIF(O$2:O257,FALSE) + COUNTIF(O$2:O257, TRUE))</f>
        <v>0.5</v>
      </c>
      <c r="Q257" s="176">
        <v>237329.4</v>
      </c>
      <c r="R257" s="176">
        <f t="shared" si="87"/>
        <v>146280.65</v>
      </c>
      <c r="S257" s="176">
        <v>-30977</v>
      </c>
      <c r="T257" s="176">
        <f t="shared" si="88"/>
        <v>14587.049999999988</v>
      </c>
      <c r="U257" s="188">
        <f>STDEV(D$2:D257)*SQRT(252)</f>
        <v>0.16938806622202984</v>
      </c>
      <c r="V257" s="188">
        <f>STDEV(L$2:L257)*SQRT(252)</f>
        <v>0.36712884125938189</v>
      </c>
      <c r="W257" s="186">
        <f t="shared" si="71"/>
        <v>-0.1116089786338815</v>
      </c>
    </row>
    <row r="258" spans="2:23" ht="20.100000000000001" customHeight="1" x14ac:dyDescent="0.25">
      <c r="B258" s="175">
        <v>42606</v>
      </c>
      <c r="C258" s="219">
        <v>2175.44</v>
      </c>
      <c r="D258" s="174">
        <f t="shared" si="96"/>
        <v>-5.2402944807718854E-3</v>
      </c>
      <c r="E258" s="213">
        <f t="shared" si="91"/>
        <v>3.4721561614124541E-2</v>
      </c>
      <c r="F258" s="223">
        <v>5217.6899999999996</v>
      </c>
      <c r="G258" s="174">
        <f t="shared" si="92"/>
        <v>-8.0569269990703758E-3</v>
      </c>
      <c r="H258" s="207">
        <f t="shared" si="93"/>
        <v>2.4744191527387667E-2</v>
      </c>
      <c r="I258" s="225">
        <f>379998.45+9.8</f>
        <v>380008.25</v>
      </c>
      <c r="J258" s="176">
        <v>400000</v>
      </c>
      <c r="K258" s="176">
        <f t="shared" si="94"/>
        <v>-3601.7999999999884</v>
      </c>
      <c r="L258" s="174">
        <f t="shared" si="86"/>
        <v>-9.3892222062482156E-3</v>
      </c>
      <c r="M258" s="186">
        <f t="shared" si="89"/>
        <v>-19991.75</v>
      </c>
      <c r="N258" s="188">
        <f t="shared" si="90"/>
        <v>-4.9979374999999999E-2</v>
      </c>
      <c r="O258" s="186" t="b">
        <f t="shared" si="95"/>
        <v>0</v>
      </c>
      <c r="P258" s="188">
        <f>COUNTIF(O$2:O258, TRUE)/(COUNTIF(O$2:O258,FALSE) + COUNTIF(O$2:O258, TRUE))</f>
        <v>0.49805447470817121</v>
      </c>
      <c r="Q258" s="176">
        <v>233717.8</v>
      </c>
      <c r="R258" s="176">
        <f t="shared" si="87"/>
        <v>146290.45000000001</v>
      </c>
      <c r="S258" s="176">
        <v>-34657</v>
      </c>
      <c r="T258" s="176">
        <f t="shared" si="88"/>
        <v>14665.25</v>
      </c>
      <c r="U258" s="188">
        <f>STDEV(D$2:D258)*SQRT(252)</f>
        <v>0.1691421099558785</v>
      </c>
      <c r="V258" s="188">
        <f>STDEV(L$2:L258)*SQRT(252)</f>
        <v>0.36653871966751894</v>
      </c>
      <c r="W258" s="186">
        <f t="shared" si="71"/>
        <v>-0.13635496693319452</v>
      </c>
    </row>
    <row r="259" spans="2:23" ht="20.100000000000001" customHeight="1" x14ac:dyDescent="0.25">
      <c r="B259" s="175">
        <v>42607</v>
      </c>
      <c r="C259" s="219">
        <v>2172.4699999999998</v>
      </c>
      <c r="D259" s="174">
        <f t="shared" si="96"/>
        <v>-1.3652410546833075E-3</v>
      </c>
      <c r="E259" s="213">
        <f t="shared" si="91"/>
        <v>3.3308917258042914E-2</v>
      </c>
      <c r="F259" s="223">
        <v>5212.2</v>
      </c>
      <c r="G259" s="174">
        <f t="shared" si="92"/>
        <v>-1.0521897621360759E-3</v>
      </c>
      <c r="H259" s="207">
        <f t="shared" si="93"/>
        <v>2.3665966180254142E-2</v>
      </c>
      <c r="I259" s="225">
        <v>380752.59</v>
      </c>
      <c r="J259" s="176">
        <v>400000</v>
      </c>
      <c r="K259" s="176">
        <f t="shared" si="94"/>
        <v>744.34000000002561</v>
      </c>
      <c r="L259" s="174">
        <f t="shared" si="86"/>
        <v>1.9587469482571116E-3</v>
      </c>
      <c r="M259" s="186">
        <f t="shared" si="89"/>
        <v>-19247.409999999974</v>
      </c>
      <c r="N259" s="188">
        <f t="shared" si="90"/>
        <v>-4.8118524999999933E-2</v>
      </c>
      <c r="O259" s="186" t="b">
        <f t="shared" si="95"/>
        <v>1</v>
      </c>
      <c r="P259" s="188">
        <f>COUNTIF(O$2:O259, TRUE)/(COUNTIF(O$2:O259,FALSE) + COUNTIF(O$2:O259, TRUE))</f>
        <v>0.5</v>
      </c>
      <c r="Q259" s="176">
        <v>237299.38</v>
      </c>
      <c r="R259" s="176">
        <f t="shared" si="87"/>
        <v>143453.21000000002</v>
      </c>
      <c r="S259" s="176">
        <v>-33721</v>
      </c>
      <c r="T259" s="176">
        <f t="shared" si="88"/>
        <v>14473.590000000026</v>
      </c>
      <c r="U259" s="188">
        <f>STDEV(D$2:D259)*SQRT(252)</f>
        <v>0.16881845547722549</v>
      </c>
      <c r="V259" s="188">
        <f>STDEV(L$2:L259)*SQRT(252)</f>
        <v>0.36582526513101316</v>
      </c>
      <c r="W259" s="186">
        <f t="shared" ref="W259:W279" si="97">N259/V259</f>
        <v>-0.13153417652213611</v>
      </c>
    </row>
    <row r="260" spans="2:23" ht="20.100000000000001" customHeight="1" x14ac:dyDescent="0.25">
      <c r="B260" s="175">
        <v>42608</v>
      </c>
      <c r="C260" s="219">
        <v>2169.04</v>
      </c>
      <c r="D260" s="174">
        <f t="shared" si="96"/>
        <v>-1.578848039328431E-3</v>
      </c>
      <c r="E260" s="213">
        <f t="shared" si="91"/>
        <v>3.1677479500009466E-2</v>
      </c>
      <c r="F260" s="223">
        <v>5218.91</v>
      </c>
      <c r="G260" s="174">
        <f t="shared" si="92"/>
        <v>1.2873642607728092E-3</v>
      </c>
      <c r="H260" s="207">
        <f t="shared" si="93"/>
        <v>2.4983797160084066E-2</v>
      </c>
      <c r="I260" s="225">
        <v>381100.52</v>
      </c>
      <c r="J260" s="176">
        <v>400000</v>
      </c>
      <c r="K260" s="176">
        <f t="shared" si="94"/>
        <v>347.92999999999302</v>
      </c>
      <c r="L260" s="174">
        <f t="shared" si="86"/>
        <v>9.1379549118757934E-4</v>
      </c>
      <c r="M260" s="186">
        <f t="shared" ref="M260:M273" si="98">I260-J260</f>
        <v>-18899.479999999981</v>
      </c>
      <c r="N260" s="188">
        <f t="shared" si="90"/>
        <v>-4.7248699999999956E-2</v>
      </c>
      <c r="O260" s="186" t="b">
        <f t="shared" si="95"/>
        <v>1</v>
      </c>
      <c r="P260" s="188">
        <f>COUNTIF(O$2:O260, TRUE)/(COUNTIF(O$2:O260,FALSE) + COUNTIF(O$2:O260, TRUE))</f>
        <v>0.50193050193050193</v>
      </c>
      <c r="Q260" s="176">
        <v>258954.3</v>
      </c>
      <c r="R260" s="176">
        <f t="shared" si="87"/>
        <v>122146.22000000003</v>
      </c>
      <c r="S260" s="176">
        <v>-33067</v>
      </c>
      <c r="T260" s="176">
        <f t="shared" si="88"/>
        <v>14167.520000000019</v>
      </c>
      <c r="U260" s="188">
        <f>STDEV(D$2:D260)*SQRT(252)</f>
        <v>0.16849870140291789</v>
      </c>
      <c r="V260" s="188">
        <f>STDEV(L$2:L260)*SQRT(252)</f>
        <v>0.36511315760461099</v>
      </c>
      <c r="W260" s="186">
        <f t="shared" si="97"/>
        <v>-0.1294083738586233</v>
      </c>
    </row>
    <row r="261" spans="2:23" ht="20.100000000000001" customHeight="1" x14ac:dyDescent="0.25">
      <c r="B261" s="248">
        <v>42611</v>
      </c>
      <c r="C261" s="249">
        <v>2180.38</v>
      </c>
      <c r="D261" s="174">
        <f t="shared" si="96"/>
        <v>5.2281193523402731E-3</v>
      </c>
      <c r="E261" s="250">
        <f t="shared" si="91"/>
        <v>3.7071212495957101E-2</v>
      </c>
      <c r="F261" s="251">
        <v>5232.32</v>
      </c>
      <c r="G261" s="174">
        <f t="shared" si="92"/>
        <v>2.569502060775115E-3</v>
      </c>
      <c r="H261" s="252">
        <f t="shared" si="93"/>
        <v>2.7617495139148004E-2</v>
      </c>
      <c r="I261" s="253">
        <v>382828.93</v>
      </c>
      <c r="J261" s="254">
        <v>400000</v>
      </c>
      <c r="K261" s="254">
        <f t="shared" si="94"/>
        <v>1728.4099999999744</v>
      </c>
      <c r="L261" s="174">
        <f>K261/I260</f>
        <v>4.5353126256557569E-3</v>
      </c>
      <c r="M261" s="255">
        <f t="shared" si="98"/>
        <v>-17171.070000000007</v>
      </c>
      <c r="N261" s="256">
        <f t="shared" si="90"/>
        <v>-4.2927675000000019E-2</v>
      </c>
      <c r="O261" s="255" t="b">
        <f t="shared" si="95"/>
        <v>0</v>
      </c>
      <c r="P261" s="256">
        <f>COUNTIF(O$2:O261, TRUE)/(COUNTIF(O$2:O261,FALSE) + COUNTIF(O$2:O261, TRUE))</f>
        <v>0.5</v>
      </c>
      <c r="Q261" s="254">
        <v>260300.32</v>
      </c>
      <c r="R261" s="254">
        <f t="shared" si="87"/>
        <v>122528.60999999999</v>
      </c>
      <c r="S261" s="254">
        <v>-31777</v>
      </c>
      <c r="T261" s="254">
        <f t="shared" si="88"/>
        <v>14605.929999999993</v>
      </c>
      <c r="U261" s="256">
        <f>STDEV(D$2:D261)*SQRT(252)</f>
        <v>0.16824562360938053</v>
      </c>
      <c r="V261" s="256">
        <f>STDEV(L$2:L261)*SQRT(252)</f>
        <v>0.36442732658879068</v>
      </c>
      <c r="W261" s="255">
        <f t="shared" si="97"/>
        <v>-0.11779488492760141</v>
      </c>
    </row>
    <row r="262" spans="2:23" ht="20.100000000000001" customHeight="1" x14ac:dyDescent="0.25">
      <c r="B262" s="248">
        <v>42612</v>
      </c>
      <c r="C262" s="249">
        <v>2176.12</v>
      </c>
      <c r="D262" s="174">
        <f t="shared" si="96"/>
        <v>-1.9537878718389537E-3</v>
      </c>
      <c r="E262" s="250">
        <f t="shared" si="91"/>
        <v>3.5044995338749184E-2</v>
      </c>
      <c r="F262" s="251">
        <v>5222.9799999999996</v>
      </c>
      <c r="G262" s="174">
        <f>(F262-F261)/F261</f>
        <v>-1.7850590177971046E-3</v>
      </c>
      <c r="H262" s="252">
        <f t="shared" si="93"/>
        <v>2.5783137262603797E-2</v>
      </c>
      <c r="I262" s="253">
        <v>379406.56</v>
      </c>
      <c r="J262" s="254">
        <v>400000</v>
      </c>
      <c r="K262" s="254">
        <f t="shared" si="94"/>
        <v>-3422.3699999999953</v>
      </c>
      <c r="L262" s="174">
        <f>K262/I261</f>
        <v>-8.9396848874508921E-3</v>
      </c>
      <c r="M262" s="255">
        <f t="shared" si="98"/>
        <v>-20593.440000000002</v>
      </c>
      <c r="N262" s="256">
        <f t="shared" si="90"/>
        <v>-5.1483600000000004E-2</v>
      </c>
      <c r="O262" s="255" t="b">
        <f t="shared" si="95"/>
        <v>0</v>
      </c>
      <c r="P262" s="256">
        <f>COUNTIF(O$2:O262, TRUE)/(COUNTIF(O$2:O262,FALSE) + COUNTIF(O$2:O262, TRUE))</f>
        <v>0.49808429118773945</v>
      </c>
      <c r="Q262" s="254">
        <v>274968.95</v>
      </c>
      <c r="R262" s="254">
        <f t="shared" si="87"/>
        <v>104437.60999999999</v>
      </c>
      <c r="S262" s="254">
        <v>-35414</v>
      </c>
      <c r="T262" s="254">
        <f t="shared" si="88"/>
        <v>14820.559999999998</v>
      </c>
      <c r="U262" s="256">
        <f>STDEV(D$2:D262)*SQRT(252)</f>
        <v>0.16793385572919492</v>
      </c>
      <c r="V262" s="256">
        <f>STDEV(L$2:L262)*SQRT(252)</f>
        <v>0.36384060156715331</v>
      </c>
      <c r="W262" s="255">
        <f t="shared" si="97"/>
        <v>-0.14150042567609866</v>
      </c>
    </row>
    <row r="263" spans="2:23" ht="20.100000000000001" customHeight="1" x14ac:dyDescent="0.25">
      <c r="B263" s="248">
        <v>42613</v>
      </c>
      <c r="C263" s="249">
        <v>2170.94</v>
      </c>
      <c r="D263" s="174">
        <f t="shared" si="96"/>
        <v>-2.3803834347369797E-3</v>
      </c>
      <c r="E263" s="250">
        <f t="shared" si="91"/>
        <v>3.258119137763741E-2</v>
      </c>
      <c r="F263" s="251">
        <v>5213.22</v>
      </c>
      <c r="G263" s="174">
        <f t="shared" ref="G263:G270" si="99">(F263-F262)/F262</f>
        <v>-1.8686650149913094E-3</v>
      </c>
      <c r="H263" s="252">
        <f t="shared" si="93"/>
        <v>2.3866292201033139E-2</v>
      </c>
      <c r="I263" s="484">
        <v>375078.22</v>
      </c>
      <c r="J263" s="254">
        <v>400000</v>
      </c>
      <c r="K263" s="254">
        <f t="shared" si="94"/>
        <v>-4328.3400000000256</v>
      </c>
      <c r="L263" s="174">
        <f>K263/I262</f>
        <v>-1.1408184402504863E-2</v>
      </c>
      <c r="M263" s="255">
        <f t="shared" si="98"/>
        <v>-24921.780000000028</v>
      </c>
      <c r="N263" s="256">
        <f t="shared" si="90"/>
        <v>-6.2304450000000067E-2</v>
      </c>
      <c r="O263" s="255" t="b">
        <f t="shared" si="95"/>
        <v>0</v>
      </c>
      <c r="P263" s="256">
        <f>COUNTIF(O$2:O263, TRUE)/(COUNTIF(O$2:O263,FALSE) + COUNTIF(O$2:O263, TRUE))</f>
        <v>0.49618320610687022</v>
      </c>
      <c r="Q263" s="254">
        <v>285803.11</v>
      </c>
      <c r="R263" s="254">
        <f t="shared" si="87"/>
        <v>89275.109999999986</v>
      </c>
      <c r="S263" s="254">
        <v>-39480</v>
      </c>
      <c r="T263" s="254">
        <f t="shared" si="88"/>
        <v>14558.219999999972</v>
      </c>
      <c r="U263" s="256">
        <f>STDEV(D$2:D263)*SQRT(252)</f>
        <v>0.16762959845319877</v>
      </c>
      <c r="V263" s="256">
        <f>STDEV(L$2:L263)*SQRT(252)</f>
        <v>0.36332602481523973</v>
      </c>
      <c r="W263" s="255">
        <f t="shared" si="97"/>
        <v>-0.17148358703917072</v>
      </c>
    </row>
    <row r="264" spans="2:23" ht="20.100000000000001" customHeight="1" x14ac:dyDescent="0.25">
      <c r="B264" s="248">
        <v>42614</v>
      </c>
      <c r="C264" s="249">
        <v>2170.86</v>
      </c>
      <c r="D264" s="174">
        <f t="shared" ref="D264:D270" si="100">(C264-C263)/C263</f>
        <v>-3.6850396602359916E-5</v>
      </c>
      <c r="E264" s="250">
        <f t="shared" si="91"/>
        <v>3.254314035121101E-2</v>
      </c>
      <c r="F264" s="251">
        <v>5227.2</v>
      </c>
      <c r="G264" s="174">
        <f t="shared" si="99"/>
        <v>2.6816439743574151E-3</v>
      </c>
      <c r="H264" s="252">
        <f t="shared" si="93"/>
        <v>2.661193707406171E-2</v>
      </c>
      <c r="I264" s="253">
        <v>374158.47</v>
      </c>
      <c r="J264" s="254">
        <v>400000</v>
      </c>
      <c r="K264" s="254">
        <f t="shared" si="94"/>
        <v>-919.75</v>
      </c>
      <c r="L264" s="174">
        <f t="shared" ref="L264:L269" si="101">K264/I263</f>
        <v>-2.4521551797915646E-3</v>
      </c>
      <c r="M264" s="255">
        <f t="shared" si="98"/>
        <v>-25841.530000000028</v>
      </c>
      <c r="N264" s="256">
        <f t="shared" si="90"/>
        <v>-6.4603825000000073E-2</v>
      </c>
      <c r="O264" s="255" t="b">
        <f t="shared" si="95"/>
        <v>0</v>
      </c>
      <c r="P264" s="256">
        <f>COUNTIF(O$2:O264, TRUE)/(COUNTIF(O$2:O264,FALSE) + COUNTIF(O$2:O264, TRUE))</f>
        <v>0.49429657794676807</v>
      </c>
      <c r="Q264" s="254">
        <v>284793.13</v>
      </c>
      <c r="R264" s="254">
        <f t="shared" si="87"/>
        <v>89365.339999999967</v>
      </c>
      <c r="S264" s="254">
        <v>-40089</v>
      </c>
      <c r="T264" s="254">
        <f t="shared" si="88"/>
        <v>14247.469999999972</v>
      </c>
      <c r="U264" s="256">
        <f>STDEV(D$2:D264)*SQRT(252)</f>
        <v>0.16730829405773207</v>
      </c>
      <c r="V264" s="256">
        <f>STDEV(L$2:L264)*SQRT(252)</f>
        <v>0.36263989119612255</v>
      </c>
      <c r="W264" s="255">
        <f t="shared" si="97"/>
        <v>-0.17814869949059492</v>
      </c>
    </row>
    <row r="265" spans="2:23" ht="20.100000000000001" customHeight="1" x14ac:dyDescent="0.25">
      <c r="B265" s="248">
        <v>42615</v>
      </c>
      <c r="C265" s="249">
        <v>2179.98</v>
      </c>
      <c r="D265" s="174">
        <f t="shared" si="100"/>
        <v>4.2011000248748835E-3</v>
      </c>
      <c r="E265" s="250">
        <f t="shared" si="91"/>
        <v>3.6880957363824872E-2</v>
      </c>
      <c r="F265" s="251">
        <v>5249.89</v>
      </c>
      <c r="G265" s="174">
        <f t="shared" si="99"/>
        <v>4.3407560453015978E-3</v>
      </c>
      <c r="H265" s="252">
        <f t="shared" si="93"/>
        <v>3.1068209046094725E-2</v>
      </c>
      <c r="I265" s="253">
        <v>379833.49</v>
      </c>
      <c r="J265" s="254">
        <v>400000</v>
      </c>
      <c r="K265" s="254">
        <f t="shared" si="94"/>
        <v>5675.0200000000186</v>
      </c>
      <c r="L265" s="174">
        <f t="shared" si="101"/>
        <v>1.5167423578570916E-2</v>
      </c>
      <c r="M265" s="255">
        <f t="shared" si="98"/>
        <v>-20166.510000000009</v>
      </c>
      <c r="N265" s="256">
        <f t="shared" si="90"/>
        <v>-5.0416275000000024E-2</v>
      </c>
      <c r="O265" s="255" t="b">
        <f t="shared" si="95"/>
        <v>1</v>
      </c>
      <c r="P265" s="256">
        <f>COUNTIF(O$2:O265, TRUE)/(COUNTIF(O$2:O265,FALSE) + COUNTIF(O$2:O265, TRUE))</f>
        <v>0.49621212121212122</v>
      </c>
      <c r="Q265" s="254">
        <v>279915.57</v>
      </c>
      <c r="R265" s="254">
        <f t="shared" si="87"/>
        <v>99917.919999999984</v>
      </c>
      <c r="S265" s="254">
        <v>-35299</v>
      </c>
      <c r="T265" s="254">
        <f t="shared" si="88"/>
        <v>15132.489999999991</v>
      </c>
      <c r="U265" s="256">
        <f>STDEV(D$2:D265)*SQRT(252)</f>
        <v>0.16703513483712773</v>
      </c>
      <c r="V265" s="256">
        <f>STDEV(L$2:L265)*SQRT(252)</f>
        <v>0.3622373095628969</v>
      </c>
      <c r="W265" s="255">
        <f t="shared" si="97"/>
        <v>-0.13918023811748198</v>
      </c>
    </row>
    <row r="266" spans="2:23" ht="20.100000000000001" customHeight="1" x14ac:dyDescent="0.25">
      <c r="B266" s="175">
        <v>42619</v>
      </c>
      <c r="C266" s="219">
        <v>2186.48</v>
      </c>
      <c r="D266" s="174">
        <f t="shared" si="100"/>
        <v>2.9816787309975322E-3</v>
      </c>
      <c r="E266" s="213">
        <f t="shared" si="91"/>
        <v>3.9972603260972947E-2</v>
      </c>
      <c r="F266" s="223">
        <v>5275.9</v>
      </c>
      <c r="G266" s="174">
        <f t="shared" si="99"/>
        <v>4.9543895205422031E-3</v>
      </c>
      <c r="H266" s="207">
        <f t="shared" si="93"/>
        <v>3.6176522575956917E-2</v>
      </c>
      <c r="I266" s="225">
        <v>382927.8</v>
      </c>
      <c r="J266" s="176">
        <v>400000</v>
      </c>
      <c r="K266" s="176">
        <f t="shared" si="94"/>
        <v>3094.3099999999977</v>
      </c>
      <c r="L266" s="174">
        <f t="shared" si="101"/>
        <v>8.1464907162346265E-3</v>
      </c>
      <c r="M266" s="186">
        <f t="shared" si="98"/>
        <v>-17072.200000000012</v>
      </c>
      <c r="N266" s="188">
        <f t="shared" si="90"/>
        <v>-4.2680500000000031E-2</v>
      </c>
      <c r="O266" s="186" t="b">
        <f t="shared" si="95"/>
        <v>1</v>
      </c>
      <c r="P266" s="188">
        <f>COUNTIF(O$2:O266, TRUE)/(COUNTIF(O$2:O266,FALSE) + COUNTIF(O$2:O266, TRUE))</f>
        <v>0.49811320754716981</v>
      </c>
      <c r="Q266" s="176">
        <v>288323.67</v>
      </c>
      <c r="R266" s="176">
        <f t="shared" si="87"/>
        <v>94604.13</v>
      </c>
      <c r="S266" s="176">
        <v>-32869</v>
      </c>
      <c r="T266" s="176">
        <f t="shared" si="88"/>
        <v>15796.799999999988</v>
      </c>
      <c r="U266" s="188">
        <f>STDEV(D$2:D266)*SQRT(252)</f>
        <v>0.16673953715434717</v>
      </c>
      <c r="V266" s="188">
        <f>STDEV(L$2:L266)*SQRT(252)</f>
        <v>0.36162688235726198</v>
      </c>
      <c r="W266" s="186">
        <f t="shared" si="97"/>
        <v>-0.11802358199088389</v>
      </c>
    </row>
    <row r="267" spans="2:23" ht="20.100000000000001" customHeight="1" x14ac:dyDescent="0.25">
      <c r="B267" s="175">
        <v>42620</v>
      </c>
      <c r="C267" s="219">
        <v>2186.16</v>
      </c>
      <c r="D267" s="174">
        <f t="shared" si="100"/>
        <v>-1.4635395704518849E-4</v>
      </c>
      <c r="E267" s="213">
        <f t="shared" si="91"/>
        <v>3.9820399155267118E-2</v>
      </c>
      <c r="F267" s="223">
        <v>5283.92</v>
      </c>
      <c r="G267" s="174">
        <f t="shared" si="99"/>
        <v>1.5201197899885209E-3</v>
      </c>
      <c r="H267" s="207">
        <f t="shared" si="93"/>
        <v>3.7751635013846117E-2</v>
      </c>
      <c r="I267" s="225">
        <v>386953.84</v>
      </c>
      <c r="J267" s="176">
        <v>400000</v>
      </c>
      <c r="K267" s="176">
        <f t="shared" si="94"/>
        <v>4026.0400000000373</v>
      </c>
      <c r="L267" s="174">
        <f t="shared" si="101"/>
        <v>1.0513835767473757E-2</v>
      </c>
      <c r="M267" s="186">
        <f t="shared" si="98"/>
        <v>-13046.159999999974</v>
      </c>
      <c r="N267" s="188">
        <f t="shared" si="90"/>
        <v>-3.2615399999999933E-2</v>
      </c>
      <c r="O267" s="186" t="b">
        <f t="shared" si="95"/>
        <v>1</v>
      </c>
      <c r="P267" s="188">
        <f>COUNTIF(O$2:O267, TRUE)/(COUNTIF(O$2:O267,FALSE) + COUNTIF(O$2:O267, TRUE))</f>
        <v>0.5</v>
      </c>
      <c r="Q267" s="176">
        <v>270597.37</v>
      </c>
      <c r="R267" s="176">
        <f t="shared" si="87"/>
        <v>116356.47000000003</v>
      </c>
      <c r="S267" s="176">
        <v>-29682</v>
      </c>
      <c r="T267" s="176">
        <f t="shared" si="88"/>
        <v>16635.840000000026</v>
      </c>
      <c r="U267" s="188">
        <f>STDEV(D$2:D267)*SQRT(252)</f>
        <v>0.16642379270655777</v>
      </c>
      <c r="V267" s="188">
        <f>STDEV(L$2:L267)*SQRT(252)</f>
        <v>0.3610748681776339</v>
      </c>
      <c r="W267" s="186">
        <f t="shared" si="97"/>
        <v>-9.0328635068432694E-2</v>
      </c>
    </row>
    <row r="268" spans="2:23" ht="20.100000000000001" customHeight="1" x14ac:dyDescent="0.25">
      <c r="B268" s="175">
        <v>42621</v>
      </c>
      <c r="C268" s="219">
        <v>2181.3000000000002</v>
      </c>
      <c r="D268" s="174">
        <f t="shared" si="100"/>
        <v>-2.2230760786034294E-3</v>
      </c>
      <c r="E268" s="213">
        <f t="shared" si="91"/>
        <v>3.7508799299861173E-2</v>
      </c>
      <c r="F268" s="223">
        <v>5259.48</v>
      </c>
      <c r="G268" s="174">
        <f t="shared" si="99"/>
        <v>-4.6253539039199133E-3</v>
      </c>
      <c r="H268" s="207">
        <f t="shared" si="93"/>
        <v>3.2951666437535547E-2</v>
      </c>
      <c r="I268" s="225">
        <v>397118.13</v>
      </c>
      <c r="J268" s="176">
        <v>400000</v>
      </c>
      <c r="K268" s="176">
        <f t="shared" si="94"/>
        <v>10164.289999999979</v>
      </c>
      <c r="L268" s="174">
        <f t="shared" si="101"/>
        <v>2.6267448334405929E-2</v>
      </c>
      <c r="M268" s="186">
        <f t="shared" si="98"/>
        <v>-2881.8699999999953</v>
      </c>
      <c r="N268" s="188">
        <f t="shared" si="90"/>
        <v>-7.2046749999999885E-3</v>
      </c>
      <c r="O268" s="186" t="b">
        <f t="shared" si="95"/>
        <v>1</v>
      </c>
      <c r="P268" s="188">
        <f>COUNTIF(O$2:O268, TRUE)/(COUNTIF(O$2:O268,FALSE) + COUNTIF(O$2:O268, TRUE))</f>
        <v>0.50187265917602997</v>
      </c>
      <c r="Q268" s="176">
        <v>251179.7</v>
      </c>
      <c r="R268" s="176">
        <f t="shared" si="87"/>
        <v>145938.43</v>
      </c>
      <c r="S268" s="176">
        <v>-22549</v>
      </c>
      <c r="T268" s="176">
        <f t="shared" si="88"/>
        <v>19667.130000000005</v>
      </c>
      <c r="U268" s="188">
        <f>STDEV(D$2:D268)*SQRT(252)</f>
        <v>0.16612626124990684</v>
      </c>
      <c r="V268" s="188">
        <f>STDEV(L$2:L268)*SQRT(252)</f>
        <v>0.36126574974857484</v>
      </c>
      <c r="W268" s="186">
        <f t="shared" si="97"/>
        <v>-1.9942867556678505E-2</v>
      </c>
    </row>
    <row r="269" spans="2:23" ht="20.100000000000001" customHeight="1" x14ac:dyDescent="0.25">
      <c r="B269" s="175">
        <v>42622</v>
      </c>
      <c r="C269" s="219">
        <v>2127.81</v>
      </c>
      <c r="D269" s="174">
        <f t="shared" si="100"/>
        <v>-2.4522073992573341E-2</v>
      </c>
      <c r="E269" s="213">
        <f t="shared" si="91"/>
        <v>1.2066931755484052E-2</v>
      </c>
      <c r="F269" s="223">
        <v>5125.8999999999996</v>
      </c>
      <c r="G269" s="174">
        <f t="shared" si="99"/>
        <v>-2.5397948086122571E-2</v>
      </c>
      <c r="H269" s="207">
        <f t="shared" si="93"/>
        <v>6.7168136378812221E-3</v>
      </c>
      <c r="I269" s="225">
        <v>386211.32</v>
      </c>
      <c r="J269" s="176">
        <v>400000</v>
      </c>
      <c r="K269" s="176">
        <f t="shared" si="94"/>
        <v>-10906.809999999998</v>
      </c>
      <c r="L269" s="174">
        <f t="shared" si="101"/>
        <v>-2.746490068333067E-2</v>
      </c>
      <c r="M269" s="186">
        <f t="shared" si="98"/>
        <v>-13788.679999999993</v>
      </c>
      <c r="N269" s="188">
        <f t="shared" si="90"/>
        <v>-3.447169999999998E-2</v>
      </c>
      <c r="O269" s="186" t="b">
        <f t="shared" si="95"/>
        <v>0</v>
      </c>
      <c r="P269" s="188">
        <f>COUNTIF(O$2:O269, TRUE)/(COUNTIF(O$2:O269,FALSE) + COUNTIF(O$2:O269, TRUE))</f>
        <v>0.5</v>
      </c>
      <c r="Q269" s="176">
        <v>276342.96000000002</v>
      </c>
      <c r="R269" s="176">
        <f t="shared" si="87"/>
        <v>109868.35999999999</v>
      </c>
      <c r="S269" s="176">
        <v>-29111</v>
      </c>
      <c r="T269" s="176">
        <f t="shared" si="88"/>
        <v>15322.320000000007</v>
      </c>
      <c r="U269" s="188">
        <f>STDEV(D$2:D269)*SQRT(252)</f>
        <v>0.1675431453543596</v>
      </c>
      <c r="V269" s="188">
        <f>STDEV(L$2:L269)*SQRT(252)</f>
        <v>0.36161388324136196</v>
      </c>
      <c r="W269" s="186">
        <f t="shared" si="97"/>
        <v>-9.5327368769720547E-2</v>
      </c>
    </row>
    <row r="270" spans="2:23" ht="20.100000000000001" customHeight="1" x14ac:dyDescent="0.25">
      <c r="B270" s="248">
        <v>42625</v>
      </c>
      <c r="C270" s="249">
        <v>2159.04</v>
      </c>
      <c r="D270" s="174">
        <f t="shared" si="100"/>
        <v>1.4677062331693158E-2</v>
      </c>
      <c r="E270" s="250">
        <f t="shared" si="91"/>
        <v>2.6921101196704739E-2</v>
      </c>
      <c r="F270" s="251">
        <v>5211.88</v>
      </c>
      <c r="G270" s="174">
        <f t="shared" si="99"/>
        <v>1.6773639751068197E-2</v>
      </c>
      <c r="H270" s="252">
        <f t="shared" si="93"/>
        <v>2.3603118801186301E-2</v>
      </c>
      <c r="I270" s="253">
        <v>387052.15</v>
      </c>
      <c r="J270" s="254">
        <v>400000</v>
      </c>
      <c r="K270" s="254">
        <f t="shared" si="94"/>
        <v>840.8300000000163</v>
      </c>
      <c r="L270" s="174">
        <f t="shared" ref="L270:L285" si="102">K270/I269</f>
        <v>2.1771241712956945E-3</v>
      </c>
      <c r="M270" s="255">
        <f t="shared" si="98"/>
        <v>-12947.849999999977</v>
      </c>
      <c r="N270" s="256">
        <f t="shared" si="90"/>
        <v>-3.2369624999999944E-2</v>
      </c>
      <c r="O270" s="255" t="b">
        <f t="shared" si="95"/>
        <v>0</v>
      </c>
      <c r="P270" s="256">
        <f>COUNTIF(O$2:O270, TRUE)/(COUNTIF(O$2:O270,FALSE) + COUNTIF(O$2:O270, TRUE))</f>
        <v>0.49814126394052044</v>
      </c>
      <c r="Q270" s="254">
        <v>279690.06</v>
      </c>
      <c r="R270" s="254">
        <f t="shared" si="87"/>
        <v>107362.09000000003</v>
      </c>
      <c r="S270" s="254">
        <v>-29688</v>
      </c>
      <c r="T270" s="254">
        <f t="shared" si="88"/>
        <v>16740.150000000023</v>
      </c>
      <c r="U270" s="256">
        <f>STDEV(D$2:D270)*SQRT(252)</f>
        <v>0.16782539199806834</v>
      </c>
      <c r="V270" s="256">
        <f>STDEV(L$2:L270)*SQRT(252)</f>
        <v>0.36093984423813291</v>
      </c>
      <c r="W270" s="255">
        <f t="shared" si="97"/>
        <v>-8.9681495453419177E-2</v>
      </c>
    </row>
    <row r="271" spans="2:23" ht="20.100000000000001" customHeight="1" x14ac:dyDescent="0.25">
      <c r="B271" s="248">
        <v>42626</v>
      </c>
      <c r="C271" s="249">
        <v>2127.02</v>
      </c>
      <c r="D271" s="174">
        <f t="shared" ref="D271:D285" si="103">(C271-C270)/C270</f>
        <v>-1.483066548095449E-2</v>
      </c>
      <c r="E271" s="250">
        <f t="shared" si="91"/>
        <v>1.1691177869522996E-2</v>
      </c>
      <c r="F271" s="251">
        <v>5155.25</v>
      </c>
      <c r="G271" s="174">
        <f t="shared" ref="G271:G285" si="104">(F271-F270)/F270</f>
        <v>-1.0865560987589911E-2</v>
      </c>
      <c r="H271" s="252">
        <f t="shared" si="93"/>
        <v>1.2481096686764771E-2</v>
      </c>
      <c r="I271" s="253">
        <v>374259.41</v>
      </c>
      <c r="J271" s="254">
        <v>400000</v>
      </c>
      <c r="K271" s="254">
        <f t="shared" si="94"/>
        <v>-12792.740000000049</v>
      </c>
      <c r="L271" s="174">
        <f t="shared" si="102"/>
        <v>-3.3051721841617594E-2</v>
      </c>
      <c r="M271" s="255">
        <f t="shared" si="98"/>
        <v>-25740.590000000026</v>
      </c>
      <c r="N271" s="256">
        <f t="shared" si="90"/>
        <v>-6.4351475000000061E-2</v>
      </c>
      <c r="O271" s="255" t="b">
        <f t="shared" si="95"/>
        <v>0</v>
      </c>
      <c r="P271" s="256">
        <f>COUNTIF(O$2:O271, TRUE)/(COUNTIF(O$2:O271,FALSE) + COUNTIF(O$2:O271, TRUE))</f>
        <v>0.49629629629629629</v>
      </c>
      <c r="Q271" s="254">
        <v>294807.52</v>
      </c>
      <c r="R271" s="254">
        <f t="shared" si="87"/>
        <v>79451.889999999956</v>
      </c>
      <c r="S271" s="254">
        <v>-40449</v>
      </c>
      <c r="T271" s="254">
        <f t="shared" si="88"/>
        <v>14708.409999999974</v>
      </c>
      <c r="U271" s="256">
        <f>STDEV(D$2:D271)*SQRT(252)</f>
        <v>0.16813876158922561</v>
      </c>
      <c r="V271" s="256">
        <f>STDEV(L$2:L271)*SQRT(252)</f>
        <v>0.36172480886226521</v>
      </c>
      <c r="W271" s="255">
        <f t="shared" si="97"/>
        <v>-0.17790174581169885</v>
      </c>
    </row>
    <row r="272" spans="2:23" ht="20.100000000000001" customHeight="1" x14ac:dyDescent="0.25">
      <c r="B272" s="248">
        <v>42627</v>
      </c>
      <c r="C272" s="249">
        <v>2125.77</v>
      </c>
      <c r="D272" s="174">
        <f t="shared" si="103"/>
        <v>-5.8767665560267412E-4</v>
      </c>
      <c r="E272" s="250">
        <f t="shared" si="91"/>
        <v>1.1096630581609904E-2</v>
      </c>
      <c r="F272" s="251">
        <v>5173.7700000000004</v>
      </c>
      <c r="G272" s="174">
        <f t="shared" si="104"/>
        <v>3.5924542941662258E-3</v>
      </c>
      <c r="H272" s="252">
        <f t="shared" si="93"/>
        <v>1.6118388750319269E-2</v>
      </c>
      <c r="I272" s="253">
        <v>370693.02</v>
      </c>
      <c r="J272" s="254">
        <v>400000</v>
      </c>
      <c r="K272" s="254">
        <f t="shared" si="94"/>
        <v>-3566.3899999999558</v>
      </c>
      <c r="L272" s="174">
        <f t="shared" si="102"/>
        <v>-9.5291925993255741E-3</v>
      </c>
      <c r="M272" s="255">
        <f t="shared" si="98"/>
        <v>-29306.979999999981</v>
      </c>
      <c r="N272" s="256">
        <f t="shared" si="90"/>
        <v>-7.3267449999999956E-2</v>
      </c>
      <c r="O272" s="255" t="b">
        <f t="shared" si="95"/>
        <v>0</v>
      </c>
      <c r="P272" s="256">
        <f>COUNTIF(O$2:O272, TRUE)/(COUNTIF(O$2:O272,FALSE) + COUNTIF(O$2:O272, TRUE))</f>
        <v>0.49446494464944651</v>
      </c>
      <c r="Q272" s="254">
        <v>304166.43</v>
      </c>
      <c r="R272" s="254">
        <f t="shared" si="87"/>
        <v>66526.590000000026</v>
      </c>
      <c r="S272" s="254">
        <v>-43966</v>
      </c>
      <c r="T272" s="254">
        <f t="shared" si="88"/>
        <v>14659.020000000019</v>
      </c>
      <c r="U272" s="256">
        <f>STDEV(D$2:D272)*SQRT(252)</f>
        <v>0.16782725694658282</v>
      </c>
      <c r="V272" s="256">
        <f>STDEV(L$2:L272)*SQRT(252)</f>
        <v>0.36117811757925894</v>
      </c>
      <c r="W272" s="255">
        <f t="shared" si="97"/>
        <v>-0.20285683554436748</v>
      </c>
    </row>
    <row r="273" spans="2:23" ht="20.100000000000001" customHeight="1" x14ac:dyDescent="0.25">
      <c r="B273" s="248">
        <v>42628</v>
      </c>
      <c r="C273" s="249">
        <v>2147.2600000000002</v>
      </c>
      <c r="D273" s="174">
        <f t="shared" si="103"/>
        <v>1.0109278049836171E-2</v>
      </c>
      <c r="E273" s="250">
        <f t="shared" si="91"/>
        <v>2.1318087555411886E-2</v>
      </c>
      <c r="F273" s="251">
        <v>5249.68</v>
      </c>
      <c r="G273" s="174">
        <f t="shared" si="104"/>
        <v>1.4672086312302218E-2</v>
      </c>
      <c r="H273" s="252">
        <f t="shared" si="93"/>
        <v>3.1026965453581412E-2</v>
      </c>
      <c r="I273" s="253">
        <v>375852.08</v>
      </c>
      <c r="J273" s="254">
        <v>400000</v>
      </c>
      <c r="K273" s="254">
        <f t="shared" si="94"/>
        <v>5159.0599999999977</v>
      </c>
      <c r="L273" s="174">
        <f t="shared" si="102"/>
        <v>1.3917337855457859E-2</v>
      </c>
      <c r="M273" s="255">
        <f t="shared" si="98"/>
        <v>-24147.919999999984</v>
      </c>
      <c r="N273" s="256">
        <f t="shared" si="90"/>
        <v>-6.036979999999996E-2</v>
      </c>
      <c r="O273" s="255" t="b">
        <f t="shared" si="95"/>
        <v>1</v>
      </c>
      <c r="P273" s="256">
        <f>COUNTIF(O$2:O273, TRUE)/(COUNTIF(O$2:O273,FALSE) + COUNTIF(O$2:O273, TRUE))</f>
        <v>0.49632352941176472</v>
      </c>
      <c r="Q273" s="254">
        <v>309277.58</v>
      </c>
      <c r="R273" s="254">
        <f t="shared" si="87"/>
        <v>66574.5</v>
      </c>
      <c r="S273" s="254">
        <v>-40569</v>
      </c>
      <c r="T273" s="254">
        <f t="shared" si="88"/>
        <v>16421.080000000016</v>
      </c>
      <c r="U273" s="256">
        <f>STDEV(D$2:D273)*SQRT(252)</f>
        <v>0.16779419960031708</v>
      </c>
      <c r="V273" s="256">
        <f>STDEV(L$2:L273)*SQRT(252)</f>
        <v>0.36074703023734866</v>
      </c>
      <c r="W273" s="255">
        <f t="shared" si="97"/>
        <v>-0.16734663057456206</v>
      </c>
    </row>
    <row r="274" spans="2:23" ht="20.100000000000001" customHeight="1" x14ac:dyDescent="0.25">
      <c r="B274" s="248">
        <v>42629</v>
      </c>
      <c r="C274" s="249">
        <v>2139.16</v>
      </c>
      <c r="D274" s="174">
        <f t="shared" si="103"/>
        <v>-3.7722492851356439E-3</v>
      </c>
      <c r="E274" s="250">
        <f t="shared" si="91"/>
        <v>1.7465421129734877E-2</v>
      </c>
      <c r="F274" s="251">
        <v>5244.56</v>
      </c>
      <c r="G274" s="174">
        <f t="shared" si="104"/>
        <v>-9.7529754194539294E-4</v>
      </c>
      <c r="H274" s="252">
        <f t="shared" si="93"/>
        <v>3.0021407388495118E-2</v>
      </c>
      <c r="I274" s="253">
        <v>375872.83</v>
      </c>
      <c r="J274" s="254">
        <v>400000</v>
      </c>
      <c r="K274" s="254">
        <f t="shared" si="94"/>
        <v>20.75</v>
      </c>
      <c r="L274" s="174">
        <f t="shared" si="102"/>
        <v>5.5207889231316743E-5</v>
      </c>
      <c r="M274" s="255">
        <f t="shared" ref="M274:M279" si="105">I274-J274</f>
        <v>-24127.169999999984</v>
      </c>
      <c r="N274" s="256">
        <f t="shared" si="90"/>
        <v>-6.031792499999996E-2</v>
      </c>
      <c r="O274" s="255" t="b">
        <f t="shared" si="95"/>
        <v>1</v>
      </c>
      <c r="P274" s="256">
        <f>COUNTIF(O$2:O274, TRUE)/(COUNTIF(O$2:O274,FALSE) + COUNTIF(O$2:O274, TRUE))</f>
        <v>0.49816849816849818</v>
      </c>
      <c r="Q274" s="254">
        <v>307021.42</v>
      </c>
      <c r="R274" s="254">
        <f t="shared" si="87"/>
        <v>68851.410000000033</v>
      </c>
      <c r="S274" s="254">
        <v>-40175</v>
      </c>
      <c r="T274" s="254">
        <f t="shared" si="88"/>
        <v>16047.830000000016</v>
      </c>
      <c r="U274" s="256">
        <f>STDEV(D$2:D274)*SQRT(252)</f>
        <v>0.16752651970065091</v>
      </c>
      <c r="V274" s="256">
        <f>STDEV(L$2:L274)*SQRT(252)</f>
        <v>0.36008095750354496</v>
      </c>
      <c r="W274" s="255">
        <f t="shared" si="97"/>
        <v>-0.16751212121348055</v>
      </c>
    </row>
    <row r="275" spans="2:23" ht="20.100000000000001" customHeight="1" x14ac:dyDescent="0.25">
      <c r="B275" s="175">
        <v>42632</v>
      </c>
      <c r="C275" s="219">
        <v>2139.12</v>
      </c>
      <c r="D275" s="174">
        <f t="shared" si="103"/>
        <v>-1.8698928551377E-5</v>
      </c>
      <c r="E275" s="213">
        <f t="shared" si="91"/>
        <v>1.7446395616521677E-2</v>
      </c>
      <c r="F275" s="223">
        <v>5235.0200000000004</v>
      </c>
      <c r="G275" s="174">
        <f t="shared" si="104"/>
        <v>-1.8190277163384464E-3</v>
      </c>
      <c r="H275" s="207">
        <f t="shared" si="93"/>
        <v>2.8147769900033509E-2</v>
      </c>
      <c r="I275" s="225">
        <v>373123.48</v>
      </c>
      <c r="J275" s="176">
        <v>400000</v>
      </c>
      <c r="K275" s="176">
        <f t="shared" si="94"/>
        <v>-2749.3500000000349</v>
      </c>
      <c r="L275" s="174">
        <f t="shared" si="102"/>
        <v>-7.3145749853747999E-3</v>
      </c>
      <c r="M275" s="186">
        <f t="shared" si="105"/>
        <v>-26876.520000000019</v>
      </c>
      <c r="N275" s="188">
        <f t="shared" si="90"/>
        <v>-6.7191300000000051E-2</v>
      </c>
      <c r="O275" s="186" t="b">
        <f t="shared" si="95"/>
        <v>0</v>
      </c>
      <c r="P275" s="188">
        <f>COUNTIF(O$2:O275, TRUE)/(COUNTIF(O$2:O275,FALSE) + COUNTIF(O$2:O275, TRUE))</f>
        <v>0.49635036496350365</v>
      </c>
      <c r="Q275" s="176">
        <v>307089.07</v>
      </c>
      <c r="R275" s="176">
        <f t="shared" si="87"/>
        <v>66034.409999999974</v>
      </c>
      <c r="S275" s="176">
        <v>-41834</v>
      </c>
      <c r="T275" s="176">
        <f t="shared" si="88"/>
        <v>14957.479999999981</v>
      </c>
      <c r="U275" s="188">
        <f>STDEV(D$2:D275)*SQRT(252)</f>
        <v>0.16721833549598966</v>
      </c>
      <c r="V275" s="188">
        <f>STDEV(L$2:L275)*SQRT(252)</f>
        <v>0.35949423119806312</v>
      </c>
      <c r="W275" s="186">
        <f t="shared" si="97"/>
        <v>-0.18690508544761888</v>
      </c>
    </row>
    <row r="276" spans="2:23" ht="20.100000000000001" customHeight="1" x14ac:dyDescent="0.25">
      <c r="B276" s="175">
        <v>42633</v>
      </c>
      <c r="C276" s="219">
        <v>2139.7600000000002</v>
      </c>
      <c r="D276" s="174">
        <f t="shared" si="103"/>
        <v>2.991884513259319E-4</v>
      </c>
      <c r="E276" s="213">
        <f t="shared" si="91"/>
        <v>1.7750803827933335E-2</v>
      </c>
      <c r="F276" s="223">
        <v>5241.3500000000004</v>
      </c>
      <c r="G276" s="174">
        <f t="shared" si="104"/>
        <v>1.2091644349018584E-3</v>
      </c>
      <c r="H276" s="207">
        <f t="shared" si="93"/>
        <v>2.9390969617220292E-2</v>
      </c>
      <c r="I276" s="225">
        <v>372718.71</v>
      </c>
      <c r="J276" s="176">
        <v>400000</v>
      </c>
      <c r="K276" s="176">
        <f t="shared" si="94"/>
        <v>-404.76999999996042</v>
      </c>
      <c r="L276" s="174">
        <f t="shared" si="102"/>
        <v>-1.0848151394813332E-3</v>
      </c>
      <c r="M276" s="186">
        <f t="shared" si="105"/>
        <v>-27281.289999999979</v>
      </c>
      <c r="N276" s="188">
        <f t="shared" si="90"/>
        <v>-6.8203224999999951E-2</v>
      </c>
      <c r="O276" s="186" t="b">
        <f t="shared" si="95"/>
        <v>0</v>
      </c>
      <c r="P276" s="188">
        <f>COUNTIF(O$2:O276, TRUE)/(COUNTIF(O$2:O276,FALSE) + COUNTIF(O$2:O276, TRUE))</f>
        <v>0.49454545454545457</v>
      </c>
      <c r="Q276" s="176">
        <v>311226.5</v>
      </c>
      <c r="R276" s="176">
        <f t="shared" si="87"/>
        <v>61492.210000000021</v>
      </c>
      <c r="S276" s="176">
        <v>-42647</v>
      </c>
      <c r="T276" s="176">
        <f t="shared" si="88"/>
        <v>15365.710000000021</v>
      </c>
      <c r="U276" s="188">
        <f>STDEV(D$2:D276)*SQRT(252)</f>
        <v>0.16691188354135808</v>
      </c>
      <c r="V276" s="188">
        <f>STDEV(L$2:L276)*SQRT(252)</f>
        <v>0.35883781630276246</v>
      </c>
      <c r="W276" s="186">
        <f t="shared" si="97"/>
        <v>-0.19006699378210126</v>
      </c>
    </row>
    <row r="277" spans="2:23" ht="20.100000000000001" customHeight="1" x14ac:dyDescent="0.25">
      <c r="B277" s="175">
        <v>42634</v>
      </c>
      <c r="C277" s="219">
        <v>2163.12</v>
      </c>
      <c r="D277" s="174">
        <f t="shared" si="103"/>
        <v>1.0917112199498855E-2</v>
      </c>
      <c r="E277" s="213">
        <f t="shared" si="91"/>
        <v>2.8861703544453034E-2</v>
      </c>
      <c r="F277" s="223">
        <v>5295.18</v>
      </c>
      <c r="G277" s="174">
        <f t="shared" si="104"/>
        <v>1.0270254800766963E-2</v>
      </c>
      <c r="H277" s="207">
        <f t="shared" si="93"/>
        <v>3.9963077164797703E-2</v>
      </c>
      <c r="I277" s="225">
        <v>382463.62</v>
      </c>
      <c r="J277" s="176">
        <v>400000</v>
      </c>
      <c r="K277" s="176">
        <f t="shared" si="94"/>
        <v>9744.9099999999744</v>
      </c>
      <c r="L277" s="174">
        <f t="shared" si="102"/>
        <v>2.6145481132406726E-2</v>
      </c>
      <c r="M277" s="186">
        <f t="shared" si="105"/>
        <v>-17536.380000000005</v>
      </c>
      <c r="N277" s="188">
        <f t="shared" si="90"/>
        <v>-4.384095000000001E-2</v>
      </c>
      <c r="O277" s="186" t="b">
        <f t="shared" si="95"/>
        <v>1</v>
      </c>
      <c r="P277" s="188">
        <f>COUNTIF(O$2:O277, TRUE)/(COUNTIF(O$2:O277,FALSE) + COUNTIF(O$2:O277, TRUE))</f>
        <v>0.49637681159420288</v>
      </c>
      <c r="Q277" s="176">
        <v>306380.55</v>
      </c>
      <c r="R277" s="176">
        <f t="shared" si="87"/>
        <v>76083.070000000007</v>
      </c>
      <c r="S277" s="176">
        <v>-34503</v>
      </c>
      <c r="T277" s="176">
        <f t="shared" si="88"/>
        <v>16966.619999999995</v>
      </c>
      <c r="U277" s="188">
        <f>STDEV(D$2:D277)*SQRT(252)</f>
        <v>0.16692734623146724</v>
      </c>
      <c r="V277" s="188">
        <f>STDEV(L$2:L277)*SQRT(252)</f>
        <v>0.35903354110809649</v>
      </c>
      <c r="W277" s="186">
        <f t="shared" si="97"/>
        <v>-0.1221082294002179</v>
      </c>
    </row>
    <row r="278" spans="2:23" ht="20.100000000000001" customHeight="1" x14ac:dyDescent="0.25">
      <c r="B278" s="175">
        <v>42635</v>
      </c>
      <c r="C278" s="219">
        <v>2177.1799999999998</v>
      </c>
      <c r="D278" s="174">
        <f t="shared" si="103"/>
        <v>6.4998705573430723E-3</v>
      </c>
      <c r="E278" s="213">
        <f t="shared" si="91"/>
        <v>3.5549171438899463E-2</v>
      </c>
      <c r="F278" s="223">
        <v>5339.52</v>
      </c>
      <c r="G278" s="174">
        <f t="shared" si="104"/>
        <v>8.373653020293954E-3</v>
      </c>
      <c r="H278" s="207">
        <f t="shared" si="93"/>
        <v>4.8671367126892913E-2</v>
      </c>
      <c r="I278" s="225">
        <v>385198.84</v>
      </c>
      <c r="J278" s="176">
        <v>400000</v>
      </c>
      <c r="K278" s="176">
        <f t="shared" si="94"/>
        <v>2735.2200000000303</v>
      </c>
      <c r="L278" s="174">
        <f t="shared" si="102"/>
        <v>7.1515821557094246E-3</v>
      </c>
      <c r="M278" s="186">
        <f t="shared" si="105"/>
        <v>-14801.159999999974</v>
      </c>
      <c r="N278" s="188">
        <f t="shared" si="90"/>
        <v>-3.7002899999999936E-2</v>
      </c>
      <c r="O278" s="186" t="b">
        <f t="shared" si="95"/>
        <v>1</v>
      </c>
      <c r="P278" s="188">
        <f>COUNTIF(O$2:O278, TRUE)/(COUNTIF(O$2:O278,FALSE) + COUNTIF(O$2:O278, TRUE))</f>
        <v>0.49819494584837543</v>
      </c>
      <c r="Q278" s="176">
        <v>301575.81</v>
      </c>
      <c r="R278" s="176">
        <f t="shared" si="87"/>
        <v>83623.030000000028</v>
      </c>
      <c r="S278" s="176">
        <v>-32239</v>
      </c>
      <c r="T278" s="176">
        <f t="shared" si="88"/>
        <v>17437.840000000026</v>
      </c>
      <c r="U278" s="188">
        <f>STDEV(D$2:D278)*SQRT(252)</f>
        <v>0.16673370046778063</v>
      </c>
      <c r="V278" s="188">
        <f>STDEV(L$2:L278)*SQRT(252)</f>
        <v>0.35843771988043882</v>
      </c>
      <c r="W278" s="186">
        <f t="shared" si="97"/>
        <v>-0.10323383379501101</v>
      </c>
    </row>
    <row r="279" spans="2:23" ht="20.100000000000001" customHeight="1" x14ac:dyDescent="0.25">
      <c r="B279" s="175">
        <v>42636</v>
      </c>
      <c r="C279" s="219">
        <v>2164.69</v>
      </c>
      <c r="D279" s="174">
        <f t="shared" si="103"/>
        <v>-5.7367787688660478E-3</v>
      </c>
      <c r="E279" s="213">
        <f t="shared" si="91"/>
        <v>2.9608454938071953E-2</v>
      </c>
      <c r="F279" s="223">
        <v>5305.74</v>
      </c>
      <c r="G279" s="174">
        <f t="shared" si="104"/>
        <v>-6.3264113628192517E-3</v>
      </c>
      <c r="H279" s="207">
        <f t="shared" si="93"/>
        <v>4.2037040674038136E-2</v>
      </c>
      <c r="I279" s="225">
        <v>381118.05</v>
      </c>
      <c r="J279" s="176">
        <v>400000</v>
      </c>
      <c r="K279" s="176">
        <f t="shared" si="94"/>
        <v>-4080.7900000000373</v>
      </c>
      <c r="L279" s="174">
        <f t="shared" si="102"/>
        <v>-1.0593983097145456E-2</v>
      </c>
      <c r="M279" s="186">
        <f t="shared" si="105"/>
        <v>-18881.950000000012</v>
      </c>
      <c r="N279" s="188">
        <f t="shared" si="90"/>
        <v>-4.7204875000000028E-2</v>
      </c>
      <c r="O279" s="186" t="b">
        <f t="shared" si="95"/>
        <v>0</v>
      </c>
      <c r="P279" s="188">
        <f>COUNTIF(O$2:O279, TRUE)/(COUNTIF(O$2:O279,FALSE) + COUNTIF(O$2:O279, TRUE))</f>
        <v>0.49640287769784175</v>
      </c>
      <c r="Q279" s="176">
        <v>300371.02</v>
      </c>
      <c r="R279" s="176">
        <f t="shared" si="87"/>
        <v>80747.02999999997</v>
      </c>
      <c r="S279" s="176">
        <v>-36012</v>
      </c>
      <c r="T279" s="176">
        <f t="shared" si="88"/>
        <v>17130.049999999988</v>
      </c>
      <c r="U279" s="188">
        <f>STDEV(D$2:D279)*SQRT(252)</f>
        <v>0.16652707926624533</v>
      </c>
      <c r="V279" s="188">
        <f>STDEV(L$2:L279)*SQRT(252)</f>
        <v>0.35794291849606197</v>
      </c>
      <c r="W279" s="186">
        <f t="shared" si="97"/>
        <v>-0.13187822013168105</v>
      </c>
    </row>
    <row r="280" spans="2:23" ht="20.100000000000001" customHeight="1" x14ac:dyDescent="0.25">
      <c r="B280" s="248">
        <v>42639</v>
      </c>
      <c r="C280" s="338">
        <v>2146.1</v>
      </c>
      <c r="D280" s="174">
        <f t="shared" si="103"/>
        <v>-8.5878347477006609E-3</v>
      </c>
      <c r="E280" s="250">
        <f t="shared" si="91"/>
        <v>2.0766347672228389E-2</v>
      </c>
      <c r="F280" s="251">
        <v>5257.49</v>
      </c>
      <c r="G280" s="174">
        <f t="shared" si="104"/>
        <v>-9.093924692879788E-3</v>
      </c>
      <c r="H280" s="252">
        <f t="shared" si="93"/>
        <v>3.256083429895712E-2</v>
      </c>
      <c r="I280" s="253">
        <v>378419.42</v>
      </c>
      <c r="J280" s="254">
        <v>400000</v>
      </c>
      <c r="K280" s="254">
        <f t="shared" si="94"/>
        <v>-2698.6300000000047</v>
      </c>
      <c r="L280" s="174">
        <f t="shared" si="102"/>
        <v>-7.0808244322198982E-3</v>
      </c>
      <c r="M280" s="255">
        <f t="shared" ref="M280:M311" si="106">I280-J280</f>
        <v>-21580.580000000016</v>
      </c>
      <c r="N280" s="256">
        <f t="shared" si="90"/>
        <v>-5.395145000000004E-2</v>
      </c>
      <c r="O280" s="255" t="b">
        <f t="shared" si="95"/>
        <v>1</v>
      </c>
      <c r="P280" s="256">
        <f>COUNTIF(O$2:O280, TRUE)/(COUNTIF(O$2:O280,FALSE) + COUNTIF(O$2:O280, TRUE))</f>
        <v>0.49820788530465948</v>
      </c>
      <c r="Q280" s="254">
        <v>310812.53000000003</v>
      </c>
      <c r="R280" s="254">
        <f t="shared" si="87"/>
        <v>67606.889999999956</v>
      </c>
      <c r="S280" s="254">
        <v>-37706</v>
      </c>
      <c r="T280" s="254">
        <f t="shared" si="88"/>
        <v>16125.419999999984</v>
      </c>
      <c r="U280" s="256">
        <f>STDEV(D$2:D280)*SQRT(252)</f>
        <v>0.1664347537339865</v>
      </c>
      <c r="V280" s="256">
        <f>STDEV(L$2:L280)*SQRT(252)</f>
        <v>0.35736746994840918</v>
      </c>
      <c r="W280" s="255">
        <f t="shared" ref="W280:W305" si="107">N280/V280</f>
        <v>-0.15096911313105432</v>
      </c>
    </row>
    <row r="281" spans="2:23" ht="20.100000000000001" customHeight="1" x14ac:dyDescent="0.25">
      <c r="B281" s="248">
        <v>42640</v>
      </c>
      <c r="C281" s="338">
        <v>2159.9299999999998</v>
      </c>
      <c r="D281" s="174">
        <f t="shared" si="103"/>
        <v>6.4442477051395216E-3</v>
      </c>
      <c r="E281" s="250">
        <f t="shared" si="91"/>
        <v>2.7344418865698796E-2</v>
      </c>
      <c r="F281" s="251">
        <v>5305.71</v>
      </c>
      <c r="G281" s="174">
        <f t="shared" si="104"/>
        <v>9.1716769789386681E-3</v>
      </c>
      <c r="H281" s="252">
        <f t="shared" si="93"/>
        <v>4.203114873225057E-2</v>
      </c>
      <c r="I281" s="253">
        <v>375834.82</v>
      </c>
      <c r="J281" s="254">
        <v>400000</v>
      </c>
      <c r="K281" s="254">
        <f t="shared" si="94"/>
        <v>-2584.5999999999767</v>
      </c>
      <c r="L281" s="174">
        <f t="shared" si="102"/>
        <v>-6.8299877421723679E-3</v>
      </c>
      <c r="M281" s="255">
        <f t="shared" si="106"/>
        <v>-24165.179999999993</v>
      </c>
      <c r="N281" s="256">
        <f t="shared" si="90"/>
        <v>-6.0412949999999979E-2</v>
      </c>
      <c r="O281" s="255" t="b">
        <f t="shared" si="95"/>
        <v>0</v>
      </c>
      <c r="P281" s="256">
        <f>COUNTIF(O$2:O281, TRUE)/(COUNTIF(O$2:O281,FALSE) + COUNTIF(O$2:O281, TRUE))</f>
        <v>0.49642857142857144</v>
      </c>
      <c r="Q281" s="254">
        <v>313206.95</v>
      </c>
      <c r="R281" s="254">
        <f t="shared" si="87"/>
        <v>62627.869999999995</v>
      </c>
      <c r="S281" s="254">
        <v>-41827</v>
      </c>
      <c r="T281" s="254">
        <f t="shared" si="88"/>
        <v>17661.820000000007</v>
      </c>
      <c r="U281" s="256">
        <f>STDEV(D$2:D281)*SQRT(252)</f>
        <v>0.16624352629269787</v>
      </c>
      <c r="V281" s="256">
        <f>STDEV(L$2:L281)*SQRT(252)</f>
        <v>0.35679007137958157</v>
      </c>
      <c r="W281" s="255">
        <f t="shared" si="107"/>
        <v>-0.16932351779410335</v>
      </c>
    </row>
    <row r="282" spans="2:23" ht="20.100000000000001" customHeight="1" x14ac:dyDescent="0.25">
      <c r="B282" s="248">
        <v>42641</v>
      </c>
      <c r="C282" s="249">
        <v>2171.37</v>
      </c>
      <c r="D282" s="174">
        <f t="shared" si="103"/>
        <v>5.2964679410907088E-3</v>
      </c>
      <c r="E282" s="250">
        <f t="shared" si="91"/>
        <v>3.2785715644679435E-2</v>
      </c>
      <c r="F282" s="251">
        <v>5318.54</v>
      </c>
      <c r="G282" s="174">
        <f t="shared" si="104"/>
        <v>2.4181495030825145E-3</v>
      </c>
      <c r="H282" s="252">
        <f t="shared" si="93"/>
        <v>4.4550935836753965E-2</v>
      </c>
      <c r="I282" s="253">
        <v>385764.92</v>
      </c>
      <c r="J282" s="254">
        <v>400000</v>
      </c>
      <c r="K282" s="254">
        <f t="shared" si="94"/>
        <v>9930.0999999999767</v>
      </c>
      <c r="L282" s="174">
        <f t="shared" si="102"/>
        <v>2.6421447592322542E-2</v>
      </c>
      <c r="M282" s="255">
        <f t="shared" si="106"/>
        <v>-14235.080000000016</v>
      </c>
      <c r="N282" s="256">
        <f t="shared" si="90"/>
        <v>-3.5587700000000042E-2</v>
      </c>
      <c r="O282" s="255" t="b">
        <f t="shared" si="95"/>
        <v>1</v>
      </c>
      <c r="P282" s="256">
        <f>COUNTIF(O$2:O282, TRUE)/(COUNTIF(O$2:O282,FALSE) + COUNTIF(O$2:O282, TRUE))</f>
        <v>0.49822064056939502</v>
      </c>
      <c r="Q282" s="254">
        <v>304000.24</v>
      </c>
      <c r="R282" s="254">
        <f t="shared" si="87"/>
        <v>81764.679999999993</v>
      </c>
      <c r="S282" s="254">
        <v>-31374</v>
      </c>
      <c r="T282" s="254">
        <f t="shared" si="88"/>
        <v>17138.919999999984</v>
      </c>
      <c r="U282" s="256">
        <f>STDEV(D$2:D282)*SQRT(252)</f>
        <v>0.16601709899528619</v>
      </c>
      <c r="V282" s="256">
        <f>STDEV(L$2:L282)*SQRT(252)</f>
        <v>0.35700717953973932</v>
      </c>
      <c r="W282" s="255">
        <f t="shared" si="107"/>
        <v>-9.9683429464585013E-2</v>
      </c>
    </row>
    <row r="283" spans="2:23" ht="20.100000000000001" customHeight="1" x14ac:dyDescent="0.25">
      <c r="B283" s="248">
        <v>42642</v>
      </c>
      <c r="C283" s="249">
        <v>2151.13</v>
      </c>
      <c r="D283" s="174">
        <f t="shared" si="103"/>
        <v>-9.3213040614910318E-3</v>
      </c>
      <c r="E283" s="250">
        <f t="shared" si="91"/>
        <v>2.3158805958790763E-2</v>
      </c>
      <c r="F283" s="251">
        <v>5269.15</v>
      </c>
      <c r="G283" s="174">
        <f t="shared" si="104"/>
        <v>-9.286383105137937E-3</v>
      </c>
      <c r="H283" s="252">
        <f t="shared" si="93"/>
        <v>3.4850835673743509E-2</v>
      </c>
      <c r="I283" s="253">
        <v>389483.35</v>
      </c>
      <c r="J283" s="254">
        <v>400000</v>
      </c>
      <c r="K283" s="254">
        <f t="shared" si="94"/>
        <v>3718.429999999993</v>
      </c>
      <c r="L283" s="174">
        <f t="shared" si="102"/>
        <v>9.6391087090033824E-3</v>
      </c>
      <c r="M283" s="255">
        <f t="shared" si="106"/>
        <v>-10516.650000000023</v>
      </c>
      <c r="N283" s="256">
        <f t="shared" si="90"/>
        <v>-2.6291625000000058E-2</v>
      </c>
      <c r="O283" s="255" t="b">
        <f t="shared" si="95"/>
        <v>1</v>
      </c>
      <c r="P283" s="256">
        <f>COUNTIF(O$2:O283, TRUE)/(COUNTIF(O$2:O283,FALSE) + COUNTIF(O$2:O283, TRUE))</f>
        <v>0.5</v>
      </c>
      <c r="Q283" s="254">
        <v>298931.3</v>
      </c>
      <c r="R283" s="254">
        <f t="shared" si="87"/>
        <v>90552.049999999988</v>
      </c>
      <c r="S283" s="254">
        <v>-27372</v>
      </c>
      <c r="T283" s="254">
        <f t="shared" si="88"/>
        <v>16855.349999999977</v>
      </c>
      <c r="U283" s="256">
        <f>STDEV(D$2:D283)*SQRT(252)</f>
        <v>0.16596393387436578</v>
      </c>
      <c r="V283" s="256">
        <f>STDEV(L$2:L283)*SQRT(252)</f>
        <v>0.35647523622237404</v>
      </c>
      <c r="W283" s="255">
        <f t="shared" si="107"/>
        <v>-7.3754421986269442E-2</v>
      </c>
    </row>
    <row r="284" spans="2:23" ht="20.100000000000001" customHeight="1" x14ac:dyDescent="0.25">
      <c r="B284" s="248">
        <v>42643</v>
      </c>
      <c r="C284" s="249">
        <v>2168.27</v>
      </c>
      <c r="D284" s="174">
        <f t="shared" si="103"/>
        <v>7.9679052405014442E-3</v>
      </c>
      <c r="E284" s="250">
        <f t="shared" si="91"/>
        <v>3.1311238370655012E-2</v>
      </c>
      <c r="F284" s="251">
        <v>5312</v>
      </c>
      <c r="G284" s="174">
        <f t="shared" si="104"/>
        <v>8.1322414431170813E-3</v>
      </c>
      <c r="H284" s="252">
        <f t="shared" si="93"/>
        <v>4.3266492527053869E-2</v>
      </c>
      <c r="I284" s="484">
        <v>389657.79</v>
      </c>
      <c r="J284" s="254">
        <v>400000</v>
      </c>
      <c r="K284" s="254">
        <f t="shared" si="94"/>
        <v>174.44000000000233</v>
      </c>
      <c r="L284" s="174">
        <f t="shared" si="102"/>
        <v>4.478753713092032E-4</v>
      </c>
      <c r="M284" s="255">
        <f t="shared" si="106"/>
        <v>-10342.210000000021</v>
      </c>
      <c r="N284" s="256">
        <f t="shared" si="90"/>
        <v>-2.5855525000000053E-2</v>
      </c>
      <c r="O284" s="255" t="b">
        <f t="shared" si="95"/>
        <v>0</v>
      </c>
      <c r="P284" s="256">
        <f>COUNTIF(O$2:O284, TRUE)/(COUNTIF(O$2:O284,FALSE) + COUNTIF(O$2:O284, TRUE))</f>
        <v>0.49823321554770317</v>
      </c>
      <c r="Q284" s="254">
        <v>303944.73</v>
      </c>
      <c r="R284" s="254">
        <f t="shared" si="87"/>
        <v>85713.06</v>
      </c>
      <c r="S284" s="254">
        <v>-28150</v>
      </c>
      <c r="T284" s="254">
        <f t="shared" si="88"/>
        <v>17807.789999999979</v>
      </c>
      <c r="U284" s="256">
        <f>STDEV(D$2:D284)*SQRT(252)</f>
        <v>0.16583370781569123</v>
      </c>
      <c r="V284" s="256">
        <f>STDEV(L$2:L284)*SQRT(252)</f>
        <v>0.35584037520231043</v>
      </c>
      <c r="W284" s="255">
        <f t="shared" si="107"/>
        <v>-7.2660459019862719E-2</v>
      </c>
    </row>
    <row r="285" spans="2:23" ht="20.100000000000001" customHeight="1" x14ac:dyDescent="0.25">
      <c r="B285" s="175">
        <v>42646</v>
      </c>
      <c r="C285" s="219">
        <v>2161.1999999999998</v>
      </c>
      <c r="D285" s="174">
        <f t="shared" si="103"/>
        <v>-3.2606640316935453E-3</v>
      </c>
      <c r="E285" s="213">
        <f t="shared" si="91"/>
        <v>2.794847891021849E-2</v>
      </c>
      <c r="F285" s="223">
        <v>5300.87</v>
      </c>
      <c r="G285" s="174">
        <f t="shared" si="104"/>
        <v>-2.0952560240964061E-3</v>
      </c>
      <c r="H285" s="207">
        <f t="shared" si="93"/>
        <v>4.108058212384863E-2</v>
      </c>
      <c r="I285" s="225">
        <v>389787.58</v>
      </c>
      <c r="J285" s="176">
        <v>400000</v>
      </c>
      <c r="K285" s="176">
        <f t="shared" si="94"/>
        <v>129.79000000003725</v>
      </c>
      <c r="L285" s="174">
        <f t="shared" si="102"/>
        <v>3.3308714295186365E-4</v>
      </c>
      <c r="M285" s="186">
        <f t="shared" si="106"/>
        <v>-10212.419999999984</v>
      </c>
      <c r="N285" s="188">
        <f t="shared" si="90"/>
        <v>-2.5531049999999958E-2</v>
      </c>
      <c r="O285" s="186" t="b">
        <f t="shared" si="95"/>
        <v>1</v>
      </c>
      <c r="P285" s="188">
        <f>COUNTIF(O$2:O285, TRUE)/(COUNTIF(O$2:O285,FALSE) + COUNTIF(O$2:O285, TRUE))</f>
        <v>0.5</v>
      </c>
      <c r="Q285" s="176">
        <v>316431.14</v>
      </c>
      <c r="R285" s="176">
        <f t="shared" ref="R285:R316" si="108">I285-Q285</f>
        <v>73356.44</v>
      </c>
      <c r="S285" s="176">
        <v>-28447</v>
      </c>
      <c r="T285" s="176">
        <f t="shared" ref="T285:T316" si="109">M285-S285</f>
        <v>18234.580000000016</v>
      </c>
      <c r="U285" s="188">
        <f>STDEV(D$2:D285)*SQRT(252)</f>
        <v>0.16557095301003413</v>
      </c>
      <c r="V285" s="188">
        <f>STDEV(L$2:L285)*SQRT(252)</f>
        <v>0.35520892170812252</v>
      </c>
      <c r="W285" s="186">
        <f t="shared" si="107"/>
        <v>-7.1876150737505931E-2</v>
      </c>
    </row>
    <row r="286" spans="2:23" ht="20.100000000000001" customHeight="1" x14ac:dyDescent="0.25">
      <c r="B286" s="175">
        <v>42647</v>
      </c>
      <c r="C286" s="219">
        <v>2150.4899999999998</v>
      </c>
      <c r="D286" s="174">
        <f t="shared" ref="D286:D295" si="110">(C286-C285)/C285</f>
        <v>-4.9555802332037933E-3</v>
      </c>
      <c r="E286" s="213">
        <f t="shared" si="91"/>
        <v>2.2854397747379105E-2</v>
      </c>
      <c r="F286" s="223">
        <v>5289.65</v>
      </c>
      <c r="G286" s="174">
        <f t="shared" ref="G286:G292" si="111">(F286-F285)/F285</f>
        <v>-2.1166336846593589E-3</v>
      </c>
      <c r="H286" s="207">
        <f t="shared" si="93"/>
        <v>3.8876995895280521E-2</v>
      </c>
      <c r="I286" s="225">
        <v>385233.03</v>
      </c>
      <c r="J286" s="176">
        <v>400000</v>
      </c>
      <c r="K286" s="176">
        <f t="shared" si="94"/>
        <v>-4554.5499999999884</v>
      </c>
      <c r="L286" s="174">
        <f t="shared" ref="L286:L295" si="112">K286/I285</f>
        <v>-1.1684697598625355E-2</v>
      </c>
      <c r="M286" s="186">
        <f t="shared" si="106"/>
        <v>-14766.969999999972</v>
      </c>
      <c r="N286" s="188">
        <f t="shared" ref="N286:N317" si="113">M286/J286</f>
        <v>-3.6917424999999927E-2</v>
      </c>
      <c r="O286" s="186" t="b">
        <f t="shared" si="95"/>
        <v>0</v>
      </c>
      <c r="P286" s="188">
        <f>COUNTIF(O$2:O286, TRUE)/(COUNTIF(O$2:O286,FALSE) + COUNTIF(O$2:O286, TRUE))</f>
        <v>0.49824561403508771</v>
      </c>
      <c r="Q286" s="176">
        <v>337102.39</v>
      </c>
      <c r="R286" s="176">
        <f t="shared" si="108"/>
        <v>48130.640000000014</v>
      </c>
      <c r="S286" s="176">
        <v>-32163</v>
      </c>
      <c r="T286" s="176">
        <f t="shared" si="109"/>
        <v>17396.030000000028</v>
      </c>
      <c r="U286" s="188">
        <f>STDEV(D$2:D286)*SQRT(252)</f>
        <v>0.16534817054416481</v>
      </c>
      <c r="V286" s="188">
        <f>STDEV(L$2:L286)*SQRT(252)</f>
        <v>0.35476607688224249</v>
      </c>
      <c r="W286" s="186">
        <f t="shared" si="107"/>
        <v>-0.10406131647207613</v>
      </c>
    </row>
    <row r="287" spans="2:23" ht="20.100000000000001" customHeight="1" x14ac:dyDescent="0.25">
      <c r="B287" s="175">
        <v>42648</v>
      </c>
      <c r="C287" s="219">
        <v>2159.73</v>
      </c>
      <c r="D287" s="174">
        <f t="shared" si="110"/>
        <v>4.2966951717981657E-3</v>
      </c>
      <c r="E287" s="213">
        <f t="shared" si="91"/>
        <v>2.7249291299632789E-2</v>
      </c>
      <c r="F287" s="223">
        <v>5316.02</v>
      </c>
      <c r="G287" s="174">
        <f t="shared" si="111"/>
        <v>4.9852069607631512E-3</v>
      </c>
      <c r="H287" s="207">
        <f t="shared" si="93"/>
        <v>4.4056012726594387E-2</v>
      </c>
      <c r="I287" s="225">
        <v>390592.54</v>
      </c>
      <c r="J287" s="176">
        <v>400000</v>
      </c>
      <c r="K287" s="176">
        <f t="shared" si="94"/>
        <v>5359.5099999999511</v>
      </c>
      <c r="L287" s="174">
        <f t="shared" si="112"/>
        <v>1.3912384407951599E-2</v>
      </c>
      <c r="M287" s="186">
        <f t="shared" si="106"/>
        <v>-9407.460000000021</v>
      </c>
      <c r="N287" s="188">
        <f t="shared" si="113"/>
        <v>-2.3518650000000054E-2</v>
      </c>
      <c r="O287" s="186" t="b">
        <f t="shared" si="95"/>
        <v>1</v>
      </c>
      <c r="P287" s="188">
        <f>COUNTIF(O$2:O287, TRUE)/(COUNTIF(O$2:O287,FALSE) + COUNTIF(O$2:O287, TRUE))</f>
        <v>0.5</v>
      </c>
      <c r="Q287" s="176">
        <v>313332.61</v>
      </c>
      <c r="R287" s="176">
        <f t="shared" si="108"/>
        <v>77259.929999999993</v>
      </c>
      <c r="S287" s="176">
        <v>-29624</v>
      </c>
      <c r="T287" s="176">
        <f t="shared" si="109"/>
        <v>20216.539999999979</v>
      </c>
      <c r="U287" s="188">
        <f>STDEV(D$2:D287)*SQRT(252)</f>
        <v>0.16510322057626589</v>
      </c>
      <c r="V287" s="188">
        <f>STDEV(L$2:L287)*SQRT(252)</f>
        <v>0.35436735180004281</v>
      </c>
      <c r="W287" s="186">
        <f t="shared" si="107"/>
        <v>-6.6367993215331003E-2</v>
      </c>
    </row>
    <row r="288" spans="2:23" ht="20.100000000000001" customHeight="1" x14ac:dyDescent="0.25">
      <c r="B288" s="175">
        <v>42649</v>
      </c>
      <c r="C288" s="219">
        <v>2160.77</v>
      </c>
      <c r="D288" s="174">
        <f t="shared" si="110"/>
        <v>4.8154167419073849E-4</v>
      </c>
      <c r="E288" s="213">
        <f t="shared" ref="E288:E319" si="114">(C288-$C$2)/$C$2</f>
        <v>2.7743954643176465E-2</v>
      </c>
      <c r="F288" s="223">
        <v>5306.85</v>
      </c>
      <c r="G288" s="174">
        <f t="shared" si="111"/>
        <v>-1.7249746991170221E-3</v>
      </c>
      <c r="H288" s="207">
        <f t="shared" ref="H288:H319" si="115">(F288-F$2)/F$2</f>
        <v>4.225504252018001E-2</v>
      </c>
      <c r="I288" s="225">
        <v>390871.84</v>
      </c>
      <c r="J288" s="176">
        <v>400000</v>
      </c>
      <c r="K288" s="176">
        <f t="shared" ref="K288:K319" si="116">I288-I287-J288+J287</f>
        <v>279.30000000004657</v>
      </c>
      <c r="L288" s="174">
        <f t="shared" si="112"/>
        <v>7.1506742038659153E-4</v>
      </c>
      <c r="M288" s="186">
        <f t="shared" si="106"/>
        <v>-9128.1599999999744</v>
      </c>
      <c r="N288" s="188">
        <f t="shared" si="113"/>
        <v>-2.2820399999999935E-2</v>
      </c>
      <c r="O288" s="186" t="b">
        <f t="shared" ref="O288:O319" si="117">L288&gt;D288</f>
        <v>1</v>
      </c>
      <c r="P288" s="188">
        <f>COUNTIF(O$2:O288, TRUE)/(COUNTIF(O$2:O288,FALSE) + COUNTIF(O$2:O288, TRUE))</f>
        <v>0.50174216027874563</v>
      </c>
      <c r="Q288" s="176">
        <v>335247.19</v>
      </c>
      <c r="R288" s="176">
        <f t="shared" si="108"/>
        <v>55624.650000000023</v>
      </c>
      <c r="S288" s="176">
        <v>-29330</v>
      </c>
      <c r="T288" s="176">
        <f t="shared" si="109"/>
        <v>20201.840000000026</v>
      </c>
      <c r="U288" s="188">
        <f>STDEV(D$2:D288)*SQRT(252)</f>
        <v>0.16481360805187978</v>
      </c>
      <c r="V288" s="188">
        <f>STDEV(L$2:L288)*SQRT(252)</f>
        <v>0.35374517129723698</v>
      </c>
      <c r="W288" s="186">
        <f t="shared" si="107"/>
        <v>-6.4510845240131703E-2</v>
      </c>
    </row>
    <row r="289" spans="1:23" ht="20.100000000000001" customHeight="1" x14ac:dyDescent="0.25">
      <c r="B289" s="175">
        <v>42650</v>
      </c>
      <c r="C289" s="219">
        <v>2153.7399999999998</v>
      </c>
      <c r="D289" s="174">
        <f t="shared" si="110"/>
        <v>-3.2534698278855224E-3</v>
      </c>
      <c r="E289" s="213">
        <f t="shared" si="114"/>
        <v>2.4400220695953143E-2</v>
      </c>
      <c r="F289" s="223">
        <v>5292.4</v>
      </c>
      <c r="G289" s="174">
        <f t="shared" si="111"/>
        <v>-2.7228958798535341E-3</v>
      </c>
      <c r="H289" s="207">
        <f t="shared" si="115"/>
        <v>3.9417090559145239E-2</v>
      </c>
      <c r="I289" s="225">
        <v>386326.18</v>
      </c>
      <c r="J289" s="176">
        <v>400000</v>
      </c>
      <c r="K289" s="176">
        <f t="shared" si="116"/>
        <v>-4545.6600000000326</v>
      </c>
      <c r="L289" s="174">
        <f t="shared" si="112"/>
        <v>-1.1629540772238881E-2</v>
      </c>
      <c r="M289" s="186">
        <f t="shared" si="106"/>
        <v>-13673.820000000007</v>
      </c>
      <c r="N289" s="188">
        <f t="shared" si="113"/>
        <v>-3.4184550000000015E-2</v>
      </c>
      <c r="O289" s="186" t="b">
        <f t="shared" si="117"/>
        <v>0</v>
      </c>
      <c r="P289" s="188">
        <f>COUNTIF(O$2:O289, TRUE)/(COUNTIF(O$2:O289,FALSE) + COUNTIF(O$2:O289, TRUE))</f>
        <v>0.5</v>
      </c>
      <c r="Q289" s="176">
        <v>340123.03</v>
      </c>
      <c r="R289" s="176">
        <f t="shared" si="108"/>
        <v>46203.149999999965</v>
      </c>
      <c r="S289" s="176">
        <v>-30659</v>
      </c>
      <c r="T289" s="176">
        <f t="shared" si="109"/>
        <v>16985.179999999993</v>
      </c>
      <c r="U289" s="188">
        <f>STDEV(D$2:D289)*SQRT(252)</f>
        <v>0.16455611820081531</v>
      </c>
      <c r="V289" s="188">
        <f>STDEV(L$2:L289)*SQRT(252)</f>
        <v>0.35330879271171961</v>
      </c>
      <c r="W289" s="186">
        <f t="shared" si="107"/>
        <v>-9.6755446524912025E-2</v>
      </c>
    </row>
    <row r="290" spans="1:23" ht="20.100000000000001" customHeight="1" x14ac:dyDescent="0.25">
      <c r="B290" s="248">
        <v>42653</v>
      </c>
      <c r="C290" s="249">
        <v>2163.66</v>
      </c>
      <c r="D290" s="174">
        <f t="shared" si="110"/>
        <v>4.6059412928208948E-3</v>
      </c>
      <c r="E290" s="250">
        <f t="shared" si="114"/>
        <v>2.911854797283147E-2</v>
      </c>
      <c r="F290" s="251">
        <v>5328.67</v>
      </c>
      <c r="G290" s="174">
        <f t="shared" si="111"/>
        <v>6.8532234902880431E-3</v>
      </c>
      <c r="H290" s="252">
        <f t="shared" si="115"/>
        <v>4.6540448180372028E-2</v>
      </c>
      <c r="I290" s="253">
        <v>390200.44</v>
      </c>
      <c r="J290" s="254">
        <v>400000</v>
      </c>
      <c r="K290" s="254">
        <f t="shared" si="116"/>
        <v>3874.2600000000093</v>
      </c>
      <c r="L290" s="174">
        <f t="shared" si="112"/>
        <v>1.0028468689333997E-2</v>
      </c>
      <c r="M290" s="255">
        <f t="shared" si="106"/>
        <v>-9799.5599999999977</v>
      </c>
      <c r="N290" s="256">
        <f t="shared" si="113"/>
        <v>-2.4498899999999994E-2</v>
      </c>
      <c r="O290" s="255" t="b">
        <f t="shared" si="117"/>
        <v>1</v>
      </c>
      <c r="P290" s="256">
        <f>COUNTIF(O$2:O290, TRUE)/(COUNTIF(O$2:O290,FALSE) + COUNTIF(O$2:O290, TRUE))</f>
        <v>0.5017301038062284</v>
      </c>
      <c r="Q290" s="254">
        <v>340124.03</v>
      </c>
      <c r="R290" s="254">
        <f t="shared" si="108"/>
        <v>50076.409999999974</v>
      </c>
      <c r="S290" s="254">
        <v>-26735</v>
      </c>
      <c r="T290" s="254">
        <f t="shared" si="109"/>
        <v>16935.440000000002</v>
      </c>
      <c r="U290" s="256">
        <f>STDEV(D$2:D290)*SQRT(252)</f>
        <v>0.16432235109111573</v>
      </c>
      <c r="V290" s="256">
        <f>STDEV(L$2:L290)*SQRT(252)</f>
        <v>0.35280655192521093</v>
      </c>
      <c r="W290" s="255">
        <f t="shared" si="107"/>
        <v>-6.944003694464651E-2</v>
      </c>
    </row>
    <row r="291" spans="1:23" ht="20.100000000000001" customHeight="1" x14ac:dyDescent="0.25">
      <c r="A291" s="169" t="s">
        <v>309</v>
      </c>
      <c r="B291" s="175">
        <v>42661</v>
      </c>
      <c r="C291" s="219">
        <v>2139.6</v>
      </c>
      <c r="D291" s="174">
        <f t="shared" si="110"/>
        <v>-1.1120046587726327E-2</v>
      </c>
      <c r="E291" s="213">
        <f t="shared" si="114"/>
        <v>1.7674701775080313E-2</v>
      </c>
      <c r="F291" s="223">
        <v>5243.83</v>
      </c>
      <c r="G291" s="174">
        <f t="shared" si="111"/>
        <v>-1.592142129274287E-2</v>
      </c>
      <c r="H291" s="207">
        <f t="shared" si="115"/>
        <v>2.9878036804996389E-2</v>
      </c>
      <c r="I291" s="225">
        <v>374649.22</v>
      </c>
      <c r="J291" s="176">
        <v>400000</v>
      </c>
      <c r="K291" s="176">
        <f t="shared" si="116"/>
        <v>-15551.22000000003</v>
      </c>
      <c r="L291" s="174">
        <f t="shared" si="112"/>
        <v>-3.9854439938612138E-2</v>
      </c>
      <c r="M291" s="186">
        <f t="shared" si="106"/>
        <v>-25350.780000000028</v>
      </c>
      <c r="N291" s="188">
        <f t="shared" si="113"/>
        <v>-6.3376950000000071E-2</v>
      </c>
      <c r="O291" s="186" t="b">
        <f t="shared" si="117"/>
        <v>0</v>
      </c>
      <c r="P291" s="188">
        <f>COUNTIF(O$2:O291, TRUE)/(COUNTIF(O$2:O291,FALSE) + COUNTIF(O$2:O291, TRUE))</f>
        <v>0.5</v>
      </c>
      <c r="Q291" s="176">
        <v>325873.59999999998</v>
      </c>
      <c r="R291" s="176">
        <f t="shared" si="108"/>
        <v>48775.619999999995</v>
      </c>
      <c r="S291" s="176">
        <v>-42252</v>
      </c>
      <c r="T291" s="176">
        <f t="shared" si="109"/>
        <v>16901.219999999972</v>
      </c>
      <c r="U291" s="188">
        <f>STDEV(D$2:D291)*SQRT(252)</f>
        <v>0.16437424820296684</v>
      </c>
      <c r="V291" s="188">
        <f>STDEV(L$2:L291)*SQRT(252)</f>
        <v>0.35420191935581979</v>
      </c>
      <c r="W291" s="186">
        <f t="shared" si="107"/>
        <v>-0.17892887230894319</v>
      </c>
    </row>
    <row r="292" spans="1:23" ht="20.100000000000001" customHeight="1" x14ac:dyDescent="0.25">
      <c r="B292" s="175">
        <v>42662</v>
      </c>
      <c r="C292" s="219">
        <v>2144.29</v>
      </c>
      <c r="D292" s="174">
        <f t="shared" si="110"/>
        <v>2.1919985043933701E-3</v>
      </c>
      <c r="E292" s="213">
        <f t="shared" si="114"/>
        <v>1.9905443199330259E-2</v>
      </c>
      <c r="F292" s="223">
        <v>5246.41</v>
      </c>
      <c r="G292" s="174">
        <f t="shared" si="111"/>
        <v>4.9200679655898979E-4</v>
      </c>
      <c r="H292" s="207">
        <f t="shared" si="115"/>
        <v>3.0384743798731278E-2</v>
      </c>
      <c r="I292" s="225">
        <v>380216.65</v>
      </c>
      <c r="J292" s="176">
        <v>400000</v>
      </c>
      <c r="K292" s="176">
        <f t="shared" si="116"/>
        <v>5567.4300000000512</v>
      </c>
      <c r="L292" s="174">
        <f t="shared" si="112"/>
        <v>1.4860380598150055E-2</v>
      </c>
      <c r="M292" s="186">
        <f t="shared" si="106"/>
        <v>-19783.349999999977</v>
      </c>
      <c r="N292" s="188">
        <f t="shared" si="113"/>
        <v>-4.9458374999999943E-2</v>
      </c>
      <c r="O292" s="186" t="b">
        <f t="shared" si="117"/>
        <v>1</v>
      </c>
      <c r="P292" s="188">
        <f>COUNTIF(O$2:O292, TRUE)/(COUNTIF(O$2:O292,FALSE) + COUNTIF(O$2:O292, TRUE))</f>
        <v>0.50171821305841924</v>
      </c>
      <c r="Q292" s="176">
        <v>324057.2</v>
      </c>
      <c r="R292" s="176">
        <f t="shared" si="108"/>
        <v>56159.450000000012</v>
      </c>
      <c r="S292" s="176">
        <v>-37035</v>
      </c>
      <c r="T292" s="176">
        <f t="shared" si="109"/>
        <v>17251.650000000023</v>
      </c>
      <c r="U292" s="188">
        <f>STDEV(D$2:D292)*SQRT(252)</f>
        <v>0.16410104874699943</v>
      </c>
      <c r="V292" s="188">
        <f>STDEV(L$2:L292)*SQRT(252)</f>
        <v>0.3538474741949057</v>
      </c>
      <c r="W292" s="186">
        <f t="shared" si="107"/>
        <v>-0.13977314692589091</v>
      </c>
    </row>
    <row r="293" spans="1:23" ht="20.100000000000001" customHeight="1" x14ac:dyDescent="0.25">
      <c r="B293" s="175">
        <v>42663</v>
      </c>
      <c r="C293" s="219">
        <v>2141.34</v>
      </c>
      <c r="D293" s="174">
        <f t="shared" si="110"/>
        <v>-1.3757467506726321E-3</v>
      </c>
      <c r="E293" s="213">
        <f t="shared" si="114"/>
        <v>1.850231159985545E-2</v>
      </c>
      <c r="F293" s="223">
        <v>5241.83</v>
      </c>
      <c r="G293" s="174">
        <f t="shared" ref="G293:G306" si="118">(F293-F292)/F292</f>
        <v>-8.7297790298507499E-4</v>
      </c>
      <c r="H293" s="207">
        <f t="shared" si="115"/>
        <v>2.9485240685822048E-2</v>
      </c>
      <c r="I293" s="225">
        <v>381021.44</v>
      </c>
      <c r="J293" s="176">
        <v>400000</v>
      </c>
      <c r="K293" s="176">
        <f t="shared" si="116"/>
        <v>804.78999999997905</v>
      </c>
      <c r="L293" s="174">
        <f t="shared" si="112"/>
        <v>2.1166616454065834E-3</v>
      </c>
      <c r="M293" s="186">
        <f t="shared" si="106"/>
        <v>-18978.559999999998</v>
      </c>
      <c r="N293" s="188">
        <f t="shared" si="113"/>
        <v>-4.7446399999999993E-2</v>
      </c>
      <c r="O293" s="186" t="b">
        <f t="shared" si="117"/>
        <v>1</v>
      </c>
      <c r="P293" s="188">
        <f>COUNTIF(O$2:O293, TRUE)/(COUNTIF(O$2:O293,FALSE) + COUNTIF(O$2:O293, TRUE))</f>
        <v>0.50342465753424659</v>
      </c>
      <c r="Q293" s="176">
        <v>320933.90000000002</v>
      </c>
      <c r="R293" s="176">
        <f t="shared" si="108"/>
        <v>60087.539999999979</v>
      </c>
      <c r="S293" s="176">
        <v>-36535</v>
      </c>
      <c r="T293" s="176">
        <f t="shared" si="109"/>
        <v>17556.440000000002</v>
      </c>
      <c r="U293" s="188">
        <f>STDEV(D$2:D293)*SQRT(252)</f>
        <v>0.16382379522732679</v>
      </c>
      <c r="V293" s="188">
        <f>STDEV(L$2:L293)*SQRT(252)</f>
        <v>0.35324050890305325</v>
      </c>
      <c r="W293" s="186">
        <f t="shared" si="107"/>
        <v>-0.13431755080225424</v>
      </c>
    </row>
    <row r="294" spans="1:23" ht="20.100000000000001" customHeight="1" x14ac:dyDescent="0.25">
      <c r="B294" s="175">
        <v>42664</v>
      </c>
      <c r="C294" s="219">
        <v>2141.16</v>
      </c>
      <c r="D294" s="174">
        <f t="shared" si="110"/>
        <v>-8.4059514136144197E-5</v>
      </c>
      <c r="E294" s="213">
        <f t="shared" si="114"/>
        <v>1.8416696790395825E-2</v>
      </c>
      <c r="F294" s="223">
        <v>5257.4</v>
      </c>
      <c r="G294" s="174">
        <f t="shared" si="118"/>
        <v>2.9703366953906765E-3</v>
      </c>
      <c r="H294" s="207">
        <f t="shared" si="115"/>
        <v>3.254315847359425E-2</v>
      </c>
      <c r="I294" s="225">
        <v>378995.29</v>
      </c>
      <c r="J294" s="176">
        <v>400000</v>
      </c>
      <c r="K294" s="176">
        <f t="shared" si="116"/>
        <v>-2026.1500000000233</v>
      </c>
      <c r="L294" s="174">
        <f t="shared" si="112"/>
        <v>-5.3176797610129849E-3</v>
      </c>
      <c r="M294" s="186">
        <f t="shared" si="106"/>
        <v>-21004.710000000021</v>
      </c>
      <c r="N294" s="188">
        <f t="shared" si="113"/>
        <v>-5.2511775000000052E-2</v>
      </c>
      <c r="O294" s="186" t="b">
        <f t="shared" si="117"/>
        <v>0</v>
      </c>
      <c r="P294" s="188">
        <f>COUNTIF(O$2:O294, TRUE)/(COUNTIF(O$2:O294,FALSE) + COUNTIF(O$2:O294, TRUE))</f>
        <v>0.50170648464163825</v>
      </c>
      <c r="Q294" s="176">
        <v>320934.90000000002</v>
      </c>
      <c r="R294" s="176">
        <f t="shared" si="108"/>
        <v>58060.389999999956</v>
      </c>
      <c r="S294" s="176">
        <v>-36534</v>
      </c>
      <c r="T294" s="176">
        <f t="shared" si="109"/>
        <v>15529.289999999979</v>
      </c>
      <c r="U294" s="188">
        <f>STDEV(D$2:D294)*SQRT(252)</f>
        <v>0.16354217458793488</v>
      </c>
      <c r="V294" s="188">
        <f>STDEV(L$2:L294)*SQRT(252)</f>
        <v>0.35267302551448443</v>
      </c>
      <c r="W294" s="186">
        <f t="shared" si="107"/>
        <v>-0.14889648825110774</v>
      </c>
    </row>
    <row r="295" spans="1:23" ht="20.100000000000001" customHeight="1" x14ac:dyDescent="0.25">
      <c r="B295" s="248">
        <v>42667</v>
      </c>
      <c r="C295" s="249">
        <v>2151.33</v>
      </c>
      <c r="D295" s="174">
        <f t="shared" si="110"/>
        <v>4.7497618113546275E-3</v>
      </c>
      <c r="E295" s="250">
        <f t="shared" si="114"/>
        <v>2.3253933524856774E-2</v>
      </c>
      <c r="F295" s="251">
        <v>5309.82</v>
      </c>
      <c r="G295" s="174">
        <f t="shared" si="118"/>
        <v>9.9707079545022399E-3</v>
      </c>
      <c r="H295" s="252">
        <f t="shared" si="115"/>
        <v>4.2838344757153778E-2</v>
      </c>
      <c r="I295" s="253">
        <v>378540.69</v>
      </c>
      <c r="J295" s="254">
        <v>400000</v>
      </c>
      <c r="K295" s="254">
        <f t="shared" si="116"/>
        <v>-454.59999999997672</v>
      </c>
      <c r="L295" s="174">
        <f t="shared" si="112"/>
        <v>-1.1994872020704445E-3</v>
      </c>
      <c r="M295" s="255">
        <f t="shared" si="106"/>
        <v>-21459.309999999998</v>
      </c>
      <c r="N295" s="256">
        <f t="shared" si="113"/>
        <v>-5.3648274999999995E-2</v>
      </c>
      <c r="O295" s="255" t="b">
        <f t="shared" si="117"/>
        <v>0</v>
      </c>
      <c r="P295" s="256">
        <f>COUNTIF(O$2:O295, TRUE)/(COUNTIF(O$2:O295,FALSE) + COUNTIF(O$2:O295, TRUE))</f>
        <v>0.5</v>
      </c>
      <c r="Q295" s="254">
        <v>324753.15000000002</v>
      </c>
      <c r="R295" s="254">
        <f t="shared" si="108"/>
        <v>53787.539999999979</v>
      </c>
      <c r="S295" s="254">
        <v>-39269</v>
      </c>
      <c r="T295" s="254">
        <f t="shared" si="109"/>
        <v>17809.690000000002</v>
      </c>
      <c r="U295" s="256">
        <f>STDEV(D$2:D295)*SQRT(252)</f>
        <v>0.16331845604618789</v>
      </c>
      <c r="V295" s="256">
        <f>STDEV(L$2:L295)*SQRT(252)</f>
        <v>0.35207165866831386</v>
      </c>
      <c r="W295" s="255">
        <f t="shared" si="107"/>
        <v>-0.15237885151824149</v>
      </c>
    </row>
    <row r="296" spans="1:23" ht="20.100000000000001" customHeight="1" x14ac:dyDescent="0.25">
      <c r="B296" s="248">
        <v>42668</v>
      </c>
      <c r="C296" s="249">
        <v>2143.16</v>
      </c>
      <c r="D296" s="174">
        <f t="shared" ref="D296:D306" si="119">(C296-C295)/C295</f>
        <v>-3.797650755579141E-3</v>
      </c>
      <c r="E296" s="250">
        <f t="shared" si="114"/>
        <v>1.9367972451056772E-2</v>
      </c>
      <c r="F296" s="251">
        <v>5283.39</v>
      </c>
      <c r="G296" s="174">
        <f t="shared" si="118"/>
        <v>-4.9775698611251194E-3</v>
      </c>
      <c r="H296" s="252">
        <f t="shared" si="115"/>
        <v>3.764754404226496E-2</v>
      </c>
      <c r="I296" s="253">
        <v>374243.66</v>
      </c>
      <c r="J296" s="254">
        <v>400000</v>
      </c>
      <c r="K296" s="254">
        <f t="shared" si="116"/>
        <v>-4297.0300000000279</v>
      </c>
      <c r="L296" s="174">
        <f>K296/I295</f>
        <v>-1.1351566987422219E-2</v>
      </c>
      <c r="M296" s="255">
        <f t="shared" si="106"/>
        <v>-25756.340000000026</v>
      </c>
      <c r="N296" s="256">
        <f t="shared" si="113"/>
        <v>-6.4390850000000069E-2</v>
      </c>
      <c r="O296" s="255" t="b">
        <f t="shared" si="117"/>
        <v>0</v>
      </c>
      <c r="P296" s="256">
        <f>COUNTIF(O$2:O296, TRUE)/(COUNTIF(O$2:O296,FALSE) + COUNTIF(O$2:O296, TRUE))</f>
        <v>0.49830508474576274</v>
      </c>
      <c r="Q296" s="254">
        <v>324754.15000000002</v>
      </c>
      <c r="R296" s="254">
        <f t="shared" si="108"/>
        <v>49489.509999999951</v>
      </c>
      <c r="S296" s="254">
        <v>-44170</v>
      </c>
      <c r="T296" s="254">
        <f t="shared" si="109"/>
        <v>18413.659999999974</v>
      </c>
      <c r="U296" s="256">
        <f>STDEV(D$2:D296)*SQRT(252)</f>
        <v>0.16308008977690622</v>
      </c>
      <c r="V296" s="256">
        <f>STDEV(L$2:L296)*SQRT(252)</f>
        <v>0.35163793771094465</v>
      </c>
      <c r="W296" s="255">
        <f t="shared" si="107"/>
        <v>-0.18311690262764249</v>
      </c>
    </row>
    <row r="297" spans="1:23" ht="20.100000000000001" customHeight="1" x14ac:dyDescent="0.25">
      <c r="B297" s="248">
        <v>42669</v>
      </c>
      <c r="C297" s="249">
        <v>2139.4299999999998</v>
      </c>
      <c r="D297" s="174">
        <f t="shared" si="119"/>
        <v>-1.7404206872095496E-3</v>
      </c>
      <c r="E297" s="250">
        <f t="shared" si="114"/>
        <v>1.7593843343924099E-2</v>
      </c>
      <c r="F297" s="251">
        <v>5250.26</v>
      </c>
      <c r="G297" s="174">
        <f t="shared" si="118"/>
        <v>-6.2705952049725852E-3</v>
      </c>
      <c r="H297" s="252">
        <f t="shared" si="115"/>
        <v>3.1140876328141956E-2</v>
      </c>
      <c r="I297" s="253">
        <v>374681.1</v>
      </c>
      <c r="J297" s="254">
        <v>400000</v>
      </c>
      <c r="K297" s="254">
        <f t="shared" si="116"/>
        <v>437.44000000000233</v>
      </c>
      <c r="L297" s="174">
        <f>K297/I296</f>
        <v>1.1688641565764997E-3</v>
      </c>
      <c r="M297" s="255">
        <f t="shared" si="106"/>
        <v>-25318.900000000023</v>
      </c>
      <c r="N297" s="256">
        <f t="shared" si="113"/>
        <v>-6.3297250000000055E-2</v>
      </c>
      <c r="O297" s="255" t="b">
        <f t="shared" si="117"/>
        <v>1</v>
      </c>
      <c r="P297" s="256">
        <f>COUNTIF(O$2:O297, TRUE)/(COUNTIF(O$2:O297,FALSE) + COUNTIF(O$2:O297, TRUE))</f>
        <v>0.5</v>
      </c>
      <c r="Q297" s="254">
        <v>325355.95</v>
      </c>
      <c r="R297" s="254">
        <f t="shared" si="108"/>
        <v>49325.149999999965</v>
      </c>
      <c r="S297" s="254">
        <v>-44067</v>
      </c>
      <c r="T297" s="254">
        <f t="shared" si="109"/>
        <v>18748.099999999977</v>
      </c>
      <c r="U297" s="256">
        <f>STDEV(D$2:D297)*SQRT(252)</f>
        <v>0.16281156659849447</v>
      </c>
      <c r="V297" s="256">
        <f>STDEV(L$2:L297)*SQRT(252)</f>
        <v>0.3510402532906407</v>
      </c>
      <c r="W297" s="255">
        <f t="shared" si="107"/>
        <v>-0.18031336693343156</v>
      </c>
    </row>
    <row r="298" spans="1:23" ht="20.100000000000001" customHeight="1" x14ac:dyDescent="0.25">
      <c r="B298" s="248">
        <v>42670</v>
      </c>
      <c r="C298" s="249">
        <v>2133.04</v>
      </c>
      <c r="D298" s="174">
        <f t="shared" si="119"/>
        <v>-2.9867768517782183E-3</v>
      </c>
      <c r="E298" s="250">
        <f t="shared" si="114"/>
        <v>1.4554517608112435E-2</v>
      </c>
      <c r="F298" s="251">
        <v>5215.97</v>
      </c>
      <c r="G298" s="174">
        <f t="shared" si="118"/>
        <v>-6.5311051262223136E-3</v>
      </c>
      <c r="H298" s="252">
        <f t="shared" si="115"/>
        <v>2.440638686489786E-2</v>
      </c>
      <c r="I298" s="253">
        <v>371125.09</v>
      </c>
      <c r="J298" s="254">
        <v>400000</v>
      </c>
      <c r="K298" s="254">
        <f t="shared" si="116"/>
        <v>-3556.0099999999511</v>
      </c>
      <c r="L298" s="174">
        <f>K298/I297</f>
        <v>-9.4907642792763005E-3</v>
      </c>
      <c r="M298" s="255">
        <f t="shared" si="106"/>
        <v>-28874.909999999974</v>
      </c>
      <c r="N298" s="256">
        <f t="shared" si="113"/>
        <v>-7.218727499999994E-2</v>
      </c>
      <c r="O298" s="255" t="b">
        <f t="shared" si="117"/>
        <v>0</v>
      </c>
      <c r="P298" s="256">
        <f>COUNTIF(O$2:O298, TRUE)/(COUNTIF(O$2:O298,FALSE) + COUNTIF(O$2:O298, TRUE))</f>
        <v>0.49831649831649832</v>
      </c>
      <c r="Q298" s="254">
        <v>360946.85</v>
      </c>
      <c r="R298" s="254">
        <f t="shared" si="108"/>
        <v>10178.240000000049</v>
      </c>
      <c r="S298" s="254">
        <v>-47280</v>
      </c>
      <c r="T298" s="254">
        <f t="shared" si="109"/>
        <v>18405.090000000026</v>
      </c>
      <c r="U298" s="256">
        <f>STDEV(D$2:D298)*SQRT(252)</f>
        <v>0.16256052123167744</v>
      </c>
      <c r="V298" s="256">
        <f>STDEV(L$2:L298)*SQRT(252)</f>
        <v>0.3505620528969402</v>
      </c>
      <c r="W298" s="255">
        <f t="shared" si="107"/>
        <v>-0.20591867945622133</v>
      </c>
    </row>
    <row r="299" spans="1:23" ht="20.100000000000001" customHeight="1" x14ac:dyDescent="0.25">
      <c r="B299" s="248">
        <v>42671</v>
      </c>
      <c r="C299" s="249">
        <v>2126.41</v>
      </c>
      <c r="D299" s="174">
        <f t="shared" si="119"/>
        <v>-3.1082398829839616E-3</v>
      </c>
      <c r="E299" s="250">
        <f t="shared" si="114"/>
        <v>1.1401038793021347E-2</v>
      </c>
      <c r="F299" s="251">
        <v>5190.1000000000004</v>
      </c>
      <c r="G299" s="174">
        <f t="shared" si="118"/>
        <v>-4.9597677900754585E-3</v>
      </c>
      <c r="H299" s="252">
        <f t="shared" si="115"/>
        <v>1.9325569063377762E-2</v>
      </c>
      <c r="I299" s="253">
        <v>366496.83</v>
      </c>
      <c r="J299" s="254">
        <v>400000</v>
      </c>
      <c r="K299" s="254">
        <f t="shared" si="116"/>
        <v>-4628.2600000000093</v>
      </c>
      <c r="L299" s="174">
        <f>K299/I298</f>
        <v>-1.2470889532152108E-2</v>
      </c>
      <c r="M299" s="255">
        <f t="shared" si="106"/>
        <v>-33503.169999999984</v>
      </c>
      <c r="N299" s="256">
        <f t="shared" si="113"/>
        <v>-8.3757924999999955E-2</v>
      </c>
      <c r="O299" s="255" t="b">
        <f t="shared" si="117"/>
        <v>0</v>
      </c>
      <c r="P299" s="256">
        <f>COUNTIF(O$2:O299, TRUE)/(COUNTIF(O$2:O299,FALSE) + COUNTIF(O$2:O299, TRUE))</f>
        <v>0.49664429530201343</v>
      </c>
      <c r="Q299" s="254">
        <v>352107.26</v>
      </c>
      <c r="R299" s="254">
        <f t="shared" si="108"/>
        <v>14389.570000000007</v>
      </c>
      <c r="S299" s="254">
        <v>-51134</v>
      </c>
      <c r="T299" s="254">
        <f t="shared" si="109"/>
        <v>17630.830000000016</v>
      </c>
      <c r="U299" s="256">
        <f>STDEV(D$2:D299)*SQRT(252)</f>
        <v>0.16231261803243649</v>
      </c>
      <c r="V299" s="256">
        <f>STDEV(L$2:L299)*SQRT(252)</f>
        <v>0.35016714235962632</v>
      </c>
      <c r="W299" s="255">
        <f t="shared" si="107"/>
        <v>-0.23919413008196941</v>
      </c>
    </row>
    <row r="300" spans="1:23" ht="20.100000000000001" customHeight="1" x14ac:dyDescent="0.25">
      <c r="B300" s="175">
        <v>42674</v>
      </c>
      <c r="C300" s="219">
        <v>2126.15</v>
      </c>
      <c r="D300" s="174">
        <f t="shared" si="119"/>
        <v>-1.2227181023403931E-4</v>
      </c>
      <c r="E300" s="213">
        <f t="shared" si="114"/>
        <v>1.1277372957135537E-2</v>
      </c>
      <c r="F300" s="223">
        <v>5189.13</v>
      </c>
      <c r="G300" s="174">
        <f t="shared" si="118"/>
        <v>-1.8689427949370043E-4</v>
      </c>
      <c r="H300" s="207">
        <f t="shared" si="115"/>
        <v>1.9135062945578155E-2</v>
      </c>
      <c r="I300" s="422">
        <v>359986.87</v>
      </c>
      <c r="J300" s="176">
        <v>400000</v>
      </c>
      <c r="K300" s="176">
        <f t="shared" si="116"/>
        <v>-6509.960000000021</v>
      </c>
      <c r="L300" s="174">
        <f>K300/I299</f>
        <v>-1.7762663868061343E-2</v>
      </c>
      <c r="M300" s="186">
        <f t="shared" si="106"/>
        <v>-40013.130000000005</v>
      </c>
      <c r="N300" s="188">
        <f t="shared" si="113"/>
        <v>-0.10003282500000001</v>
      </c>
      <c r="O300" s="186" t="b">
        <f t="shared" si="117"/>
        <v>0</v>
      </c>
      <c r="P300" s="188">
        <f>COUNTIF(O$2:O300, TRUE)/(COUNTIF(O$2:O300,FALSE) + COUNTIF(O$2:O300, TRUE))</f>
        <v>0.49498327759197325</v>
      </c>
      <c r="Q300" s="176">
        <v>351183.05</v>
      </c>
      <c r="R300" s="176">
        <f t="shared" si="108"/>
        <v>8803.820000000007</v>
      </c>
      <c r="S300" s="176">
        <v>-57393</v>
      </c>
      <c r="T300" s="176">
        <f t="shared" si="109"/>
        <v>17379.869999999995</v>
      </c>
      <c r="U300" s="188">
        <f>STDEV(D$2:D300)*SQRT(252)</f>
        <v>0.16203925205045192</v>
      </c>
      <c r="V300" s="188">
        <f>STDEV(L$2:L300)*SQRT(252)</f>
        <v>0.34996980187049981</v>
      </c>
      <c r="W300" s="186">
        <f t="shared" si="107"/>
        <v>-0.2858327331825487</v>
      </c>
    </row>
    <row r="301" spans="1:23" ht="20.100000000000001" customHeight="1" x14ac:dyDescent="0.25">
      <c r="B301" s="175">
        <v>42675</v>
      </c>
      <c r="C301" s="219">
        <v>2111.7199999999998</v>
      </c>
      <c r="D301" s="174">
        <f t="shared" si="119"/>
        <v>-6.7869153164171348E-3</v>
      </c>
      <c r="E301" s="213">
        <f t="shared" si="114"/>
        <v>4.4139190654666699E-3</v>
      </c>
      <c r="F301" s="223">
        <v>5153.57</v>
      </c>
      <c r="G301" s="174">
        <f t="shared" si="118"/>
        <v>-6.8527864979294022E-3</v>
      </c>
      <c r="H301" s="207">
        <f t="shared" si="115"/>
        <v>1.2151147946658267E-2</v>
      </c>
      <c r="I301" s="225">
        <v>360227.22</v>
      </c>
      <c r="J301" s="176">
        <v>400000</v>
      </c>
      <c r="K301" s="176">
        <f t="shared" si="116"/>
        <v>240.34999999997672</v>
      </c>
      <c r="L301" s="174">
        <f t="shared" ref="L301:L306" si="120">K301/I300</f>
        <v>6.6766324005088497E-4</v>
      </c>
      <c r="M301" s="186">
        <f t="shared" si="106"/>
        <v>-39772.780000000028</v>
      </c>
      <c r="N301" s="188">
        <f t="shared" si="113"/>
        <v>-9.9431950000000074E-2</v>
      </c>
      <c r="O301" s="186" t="b">
        <f t="shared" si="117"/>
        <v>1</v>
      </c>
      <c r="P301" s="188">
        <f>COUNTIF(O$2:O301, TRUE)/(COUNTIF(O$2:O301,FALSE) + COUNTIF(O$2:O301, TRUE))</f>
        <v>0.49666666666666665</v>
      </c>
      <c r="Q301" s="176">
        <v>351313.75</v>
      </c>
      <c r="R301" s="176">
        <f t="shared" si="108"/>
        <v>8913.4699999999721</v>
      </c>
      <c r="S301" s="176">
        <v>-56508</v>
      </c>
      <c r="T301" s="176">
        <f t="shared" si="109"/>
        <v>16735.219999999972</v>
      </c>
      <c r="U301" s="188">
        <f>STDEV(D$2:D301)*SQRT(252)</f>
        <v>0.16189028230482433</v>
      </c>
      <c r="V301" s="188">
        <f>STDEV(L$2:L301)*SQRT(252)</f>
        <v>0.34938237475224687</v>
      </c>
      <c r="W301" s="186">
        <f t="shared" si="107"/>
        <v>-0.28459349178821342</v>
      </c>
    </row>
    <row r="302" spans="1:23" ht="20.100000000000001" customHeight="1" x14ac:dyDescent="0.25">
      <c r="B302" s="175">
        <v>42676</v>
      </c>
      <c r="C302" s="219">
        <v>2097.94</v>
      </c>
      <c r="D302" s="174">
        <f t="shared" si="119"/>
        <v>-6.525486333415295E-3</v>
      </c>
      <c r="E302" s="213">
        <f t="shared" si="114"/>
        <v>-2.1403702364871293E-3</v>
      </c>
      <c r="F302" s="223">
        <v>5105.5600000000004</v>
      </c>
      <c r="G302" s="174">
        <f t="shared" si="118"/>
        <v>-9.3158722982319662E-3</v>
      </c>
      <c r="H302" s="207">
        <f t="shared" si="115"/>
        <v>2.7220771058783086E-3</v>
      </c>
      <c r="I302" s="225">
        <v>350822.36</v>
      </c>
      <c r="J302" s="176">
        <v>400000</v>
      </c>
      <c r="K302" s="176">
        <f t="shared" si="116"/>
        <v>-9404.859999999986</v>
      </c>
      <c r="L302" s="174">
        <f t="shared" si="120"/>
        <v>-2.6108132528130403E-2</v>
      </c>
      <c r="M302" s="186">
        <f t="shared" si="106"/>
        <v>-49177.640000000014</v>
      </c>
      <c r="N302" s="188">
        <f t="shared" si="113"/>
        <v>-0.12294410000000003</v>
      </c>
      <c r="O302" s="186" t="b">
        <f t="shared" si="117"/>
        <v>0</v>
      </c>
      <c r="P302" s="188">
        <f>COUNTIF(O$2:O302, TRUE)/(COUNTIF(O$2:O302,FALSE) + COUNTIF(O$2:O302, TRUE))</f>
        <v>0.49501661129568109</v>
      </c>
      <c r="Q302" s="176">
        <v>330288.3</v>
      </c>
      <c r="R302" s="176">
        <f t="shared" si="108"/>
        <v>20534.059999999998</v>
      </c>
      <c r="S302" s="176">
        <v>-66283</v>
      </c>
      <c r="T302" s="176">
        <f t="shared" si="109"/>
        <v>17105.359999999986</v>
      </c>
      <c r="U302" s="188">
        <f>STDEV(D$2:D302)*SQRT(252)</f>
        <v>0.16173222652481728</v>
      </c>
      <c r="V302" s="188">
        <f>STDEV(L$2:L302)*SQRT(252)</f>
        <v>0.34963013361097944</v>
      </c>
      <c r="W302" s="186">
        <f t="shared" si="107"/>
        <v>-0.35164045710314945</v>
      </c>
    </row>
    <row r="303" spans="1:23" ht="20.100000000000001" customHeight="1" x14ac:dyDescent="0.25">
      <c r="B303" s="175">
        <v>42677</v>
      </c>
      <c r="C303" s="219">
        <v>2088.66</v>
      </c>
      <c r="D303" s="174">
        <f t="shared" si="119"/>
        <v>-4.423386750812797E-3</v>
      </c>
      <c r="E303" s="213">
        <f t="shared" si="114"/>
        <v>-6.5542893019540152E-3</v>
      </c>
      <c r="F303" s="223">
        <v>5058.3999999999996</v>
      </c>
      <c r="G303" s="174">
        <f t="shared" si="118"/>
        <v>-9.2369886946781082E-3</v>
      </c>
      <c r="H303" s="207">
        <f t="shared" si="115"/>
        <v>-6.54005538425284E-3</v>
      </c>
      <c r="I303" s="225">
        <v>366923.87</v>
      </c>
      <c r="J303" s="176">
        <v>400000</v>
      </c>
      <c r="K303" s="176">
        <f t="shared" si="116"/>
        <v>16101.510000000009</v>
      </c>
      <c r="L303" s="174">
        <f t="shared" si="120"/>
        <v>4.5896475925878866E-2</v>
      </c>
      <c r="M303" s="186">
        <f t="shared" si="106"/>
        <v>-33076.130000000005</v>
      </c>
      <c r="N303" s="188">
        <f t="shared" si="113"/>
        <v>-8.2690325000000009E-2</v>
      </c>
      <c r="O303" s="186" t="b">
        <f t="shared" si="117"/>
        <v>1</v>
      </c>
      <c r="P303" s="188">
        <f>COUNTIF(O$2:O303, TRUE)/(COUNTIF(O$2:O303,FALSE) + COUNTIF(O$2:O303, TRUE))</f>
        <v>0.49668874172185429</v>
      </c>
      <c r="Q303" s="176">
        <v>317968.34999999998</v>
      </c>
      <c r="R303" s="176">
        <f t="shared" si="108"/>
        <v>48955.520000000019</v>
      </c>
      <c r="S303" s="176">
        <v>-47877</v>
      </c>
      <c r="T303" s="176">
        <f t="shared" si="109"/>
        <v>14800.869999999995</v>
      </c>
      <c r="U303" s="188">
        <f>STDEV(D$2:D303)*SQRT(252)</f>
        <v>0.16151419687276639</v>
      </c>
      <c r="V303" s="188">
        <f>STDEV(L$2:L303)*SQRT(252)</f>
        <v>0.35155170674162023</v>
      </c>
      <c r="W303" s="186">
        <f t="shared" si="107"/>
        <v>-0.23521525685771985</v>
      </c>
    </row>
    <row r="304" spans="1:23" ht="20.100000000000001" customHeight="1" x14ac:dyDescent="0.25">
      <c r="B304" s="175">
        <v>42678</v>
      </c>
      <c r="C304" s="219">
        <v>2085.1799999999998</v>
      </c>
      <c r="D304" s="174">
        <f t="shared" si="119"/>
        <v>-1.6661400132142227E-3</v>
      </c>
      <c r="E304" s="213">
        <f t="shared" si="114"/>
        <v>-8.2095089515040708E-3</v>
      </c>
      <c r="F304" s="223">
        <v>5046.37</v>
      </c>
      <c r="G304" s="174">
        <f t="shared" si="118"/>
        <v>-2.3782223628024172E-3</v>
      </c>
      <c r="H304" s="207">
        <f t="shared" si="115"/>
        <v>-8.9027240410864596E-3</v>
      </c>
      <c r="I304" s="225">
        <v>362921.09</v>
      </c>
      <c r="J304" s="176">
        <v>400000</v>
      </c>
      <c r="K304" s="176">
        <f t="shared" si="116"/>
        <v>-4002.7799999999697</v>
      </c>
      <c r="L304" s="174">
        <f t="shared" si="120"/>
        <v>-1.0909020446121343E-2</v>
      </c>
      <c r="M304" s="186">
        <f t="shared" si="106"/>
        <v>-37078.909999999974</v>
      </c>
      <c r="N304" s="188">
        <f t="shared" si="113"/>
        <v>-9.269727499999994E-2</v>
      </c>
      <c r="O304" s="186" t="b">
        <f t="shared" si="117"/>
        <v>0</v>
      </c>
      <c r="P304" s="188">
        <f>COUNTIF(O$2:O304, TRUE)/(COUNTIF(O$2:O304,FALSE) + COUNTIF(O$2:O304, TRUE))</f>
        <v>0.49504950495049505</v>
      </c>
      <c r="Q304" s="176">
        <v>329130.11</v>
      </c>
      <c r="R304" s="176">
        <f t="shared" si="108"/>
        <v>33790.98000000004</v>
      </c>
      <c r="S304" s="176">
        <v>-52170</v>
      </c>
      <c r="T304" s="176">
        <f t="shared" si="109"/>
        <v>15091.090000000026</v>
      </c>
      <c r="U304" s="188">
        <f>STDEV(D$2:D304)*SQRT(252)</f>
        <v>0.16125311992836353</v>
      </c>
      <c r="V304" s="188">
        <f>STDEV(L$2:L304)*SQRT(252)</f>
        <v>0.35111566598352262</v>
      </c>
      <c r="W304" s="186">
        <f t="shared" si="107"/>
        <v>-0.26400780136181706</v>
      </c>
    </row>
    <row r="305" spans="1:23" ht="20.100000000000001" customHeight="1" x14ac:dyDescent="0.25">
      <c r="A305" s="169" t="s">
        <v>320</v>
      </c>
      <c r="B305" s="248">
        <v>42701</v>
      </c>
      <c r="C305" s="249">
        <v>2213.35</v>
      </c>
      <c r="D305" s="174">
        <f t="shared" si="119"/>
        <v>6.1467115548777602E-2</v>
      </c>
      <c r="E305" s="250">
        <f t="shared" si="114"/>
        <v>5.2752991761952708E-2</v>
      </c>
      <c r="F305" s="251">
        <v>5398.92</v>
      </c>
      <c r="G305" s="174">
        <f t="shared" si="118"/>
        <v>6.9862098894849206E-2</v>
      </c>
      <c r="H305" s="252">
        <f t="shared" si="115"/>
        <v>6.0337411866370816E-2</v>
      </c>
      <c r="I305" s="569">
        <v>407026.88</v>
      </c>
      <c r="J305" s="254">
        <v>400000</v>
      </c>
      <c r="K305" s="254">
        <f t="shared" si="116"/>
        <v>44105.789999999979</v>
      </c>
      <c r="L305" s="174">
        <f t="shared" si="120"/>
        <v>0.12152997225925882</v>
      </c>
      <c r="M305" s="255">
        <f t="shared" si="106"/>
        <v>7026.8800000000047</v>
      </c>
      <c r="N305" s="256">
        <f t="shared" si="113"/>
        <v>1.7567200000000012E-2</v>
      </c>
      <c r="O305" s="255" t="b">
        <f t="shared" si="117"/>
        <v>1</v>
      </c>
      <c r="P305" s="256">
        <f>COUNTIF(O$2:O305, TRUE)/(COUNTIF(O$2:O305,FALSE) + COUNTIF(O$2:O305, TRUE))</f>
        <v>0.49671052631578949</v>
      </c>
      <c r="Q305" s="254">
        <v>282065.34000000003</v>
      </c>
      <c r="R305" s="254">
        <f t="shared" si="108"/>
        <v>124961.53999999998</v>
      </c>
      <c r="S305" s="254">
        <v>-28519</v>
      </c>
      <c r="T305" s="254">
        <f t="shared" si="109"/>
        <v>35545.880000000005</v>
      </c>
      <c r="U305" s="256">
        <f>STDEV(D$2:D305)*SQRT(252)</f>
        <v>0.17045897478056438</v>
      </c>
      <c r="V305" s="256">
        <f>STDEV(L$2:L305)*SQRT(252)</f>
        <v>0.36757496684562585</v>
      </c>
      <c r="W305" s="255">
        <f t="shared" si="107"/>
        <v>4.7792155572383921E-2</v>
      </c>
    </row>
    <row r="306" spans="1:23" ht="20.100000000000001" customHeight="1" x14ac:dyDescent="0.25">
      <c r="B306" s="175">
        <v>42702</v>
      </c>
      <c r="C306" s="219">
        <v>2201.7199999999998</v>
      </c>
      <c r="D306" s="174">
        <f t="shared" si="119"/>
        <v>-5.2544785054329905E-3</v>
      </c>
      <c r="E306" s="213">
        <f t="shared" si="114"/>
        <v>4.7221323795209255E-2</v>
      </c>
      <c r="F306" s="223">
        <v>5368.81</v>
      </c>
      <c r="G306" s="174">
        <f t="shared" si="118"/>
        <v>-5.5770413341927035E-3</v>
      </c>
      <c r="H306" s="207">
        <f t="shared" si="115"/>
        <v>5.4423866292201147E-2</v>
      </c>
      <c r="I306" s="225">
        <v>401105.48</v>
      </c>
      <c r="J306" s="176">
        <v>400000</v>
      </c>
      <c r="K306" s="176">
        <f t="shared" si="116"/>
        <v>-5921.4000000000233</v>
      </c>
      <c r="L306" s="174">
        <f t="shared" si="120"/>
        <v>-1.4547933541883089E-2</v>
      </c>
      <c r="M306" s="186">
        <f t="shared" si="106"/>
        <v>1105.4799999999814</v>
      </c>
      <c r="N306" s="188">
        <f t="shared" si="113"/>
        <v>2.7636999999999536E-3</v>
      </c>
      <c r="O306" s="186" t="b">
        <f t="shared" si="117"/>
        <v>0</v>
      </c>
      <c r="P306" s="188">
        <f>COUNTIF(O$2:O306, TRUE)/(COUNTIF(O$2:O306,FALSE) + COUNTIF(O$2:O306, TRUE))</f>
        <v>0.49508196721311476</v>
      </c>
      <c r="Q306" s="176">
        <v>286740.21999999997</v>
      </c>
      <c r="R306" s="176">
        <f t="shared" si="108"/>
        <v>114365.26000000001</v>
      </c>
      <c r="S306" s="176">
        <v>-27948</v>
      </c>
      <c r="T306" s="176">
        <f t="shared" si="109"/>
        <v>29053.479999999981</v>
      </c>
      <c r="U306" s="188">
        <f>STDEV(D$2:D306)*SQRT(252)</f>
        <v>0.17025062089045567</v>
      </c>
      <c r="V306" s="188">
        <f>STDEV(L$2:L306)*SQRT(252)</f>
        <v>0.36722797653623318</v>
      </c>
      <c r="W306" s="186">
        <f t="shared" ref="W306:W312" si="121">N306/V306</f>
        <v>7.5258427368952606E-3</v>
      </c>
    </row>
    <row r="307" spans="1:23" ht="20.100000000000001" customHeight="1" x14ac:dyDescent="0.25">
      <c r="B307" s="175">
        <v>42703</v>
      </c>
      <c r="C307" s="219">
        <v>2204.66</v>
      </c>
      <c r="D307" s="174">
        <f t="shared" ref="D307:D316" si="122">(C307-C306)/C306</f>
        <v>1.3353196591755787E-3</v>
      </c>
      <c r="E307" s="213">
        <f t="shared" si="114"/>
        <v>4.8619699016380871E-2</v>
      </c>
      <c r="F307" s="223">
        <v>5379.91</v>
      </c>
      <c r="G307" s="174">
        <f t="shared" ref="G307:G321" si="123">(F307-F306)/F306</f>
        <v>2.0674972666195031E-3</v>
      </c>
      <c r="H307" s="207">
        <f t="shared" si="115"/>
        <v>5.6603884753618647E-2</v>
      </c>
      <c r="I307" s="225">
        <v>393567.36</v>
      </c>
      <c r="J307" s="176">
        <v>400000</v>
      </c>
      <c r="K307" s="176">
        <f t="shared" si="116"/>
        <v>-7538.1199999999953</v>
      </c>
      <c r="L307" s="174">
        <f t="shared" ref="L307:L321" si="124">K307/I306</f>
        <v>-1.8793360788788016E-2</v>
      </c>
      <c r="M307" s="186">
        <f t="shared" si="106"/>
        <v>-6432.640000000014</v>
      </c>
      <c r="N307" s="188">
        <f t="shared" si="113"/>
        <v>-1.6081600000000036E-2</v>
      </c>
      <c r="O307" s="186" t="b">
        <f t="shared" si="117"/>
        <v>0</v>
      </c>
      <c r="P307" s="188">
        <f>COUNTIF(O$2:O307, TRUE)/(COUNTIF(O$2:O307,FALSE) + COUNTIF(O$2:O307, TRUE))</f>
        <v>0.49346405228758172</v>
      </c>
      <c r="Q307" s="176">
        <v>283628.3</v>
      </c>
      <c r="R307" s="176">
        <f t="shared" si="108"/>
        <v>109939.06</v>
      </c>
      <c r="S307" s="176">
        <v>-33267</v>
      </c>
      <c r="T307" s="176">
        <f t="shared" si="109"/>
        <v>26834.359999999986</v>
      </c>
      <c r="U307" s="188">
        <f>STDEV(D$2:D307)*SQRT(252)</f>
        <v>0.16997345622567742</v>
      </c>
      <c r="V307" s="188">
        <f>STDEV(L$2:L307)*SQRT(252)</f>
        <v>0.36704612962809202</v>
      </c>
      <c r="W307" s="186">
        <f t="shared" si="121"/>
        <v>-4.3813566475403652E-2</v>
      </c>
    </row>
    <row r="308" spans="1:23" ht="20.100000000000001" customHeight="1" x14ac:dyDescent="0.25">
      <c r="B308" s="175">
        <v>42704</v>
      </c>
      <c r="C308" s="219">
        <v>2198.81</v>
      </c>
      <c r="D308" s="174">
        <f t="shared" si="122"/>
        <v>-2.6534703763845262E-3</v>
      </c>
      <c r="E308" s="213">
        <f t="shared" si="114"/>
        <v>4.5837217708947643E-2</v>
      </c>
      <c r="F308" s="223">
        <v>5323.68</v>
      </c>
      <c r="G308" s="174">
        <f t="shared" si="123"/>
        <v>-1.0451847707489449E-2</v>
      </c>
      <c r="H308" s="207">
        <f t="shared" si="115"/>
        <v>4.5560421863032087E-2</v>
      </c>
      <c r="I308" s="485">
        <v>366163.6</v>
      </c>
      <c r="J308" s="176">
        <v>350000</v>
      </c>
      <c r="K308" s="176">
        <f t="shared" si="116"/>
        <v>22596.239999999991</v>
      </c>
      <c r="L308" s="174">
        <f t="shared" si="124"/>
        <v>5.7413907494767838E-2</v>
      </c>
      <c r="M308" s="485">
        <f t="shared" si="106"/>
        <v>16163.599999999977</v>
      </c>
      <c r="N308" s="188">
        <f t="shared" si="113"/>
        <v>4.6181714285714222E-2</v>
      </c>
      <c r="O308" s="186" t="b">
        <f t="shared" si="117"/>
        <v>1</v>
      </c>
      <c r="P308" s="188">
        <f>COUNTIF(O$2:O308, TRUE)/(COUNTIF(O$2:O308,FALSE) + COUNTIF(O$2:O308, TRUE))</f>
        <v>0.49511400651465798</v>
      </c>
      <c r="Q308" s="176">
        <v>248009.28</v>
      </c>
      <c r="R308" s="176">
        <f t="shared" si="108"/>
        <v>118154.31999999998</v>
      </c>
      <c r="S308" s="176">
        <v>-30474</v>
      </c>
      <c r="T308" s="176">
        <f t="shared" si="109"/>
        <v>46637.599999999977</v>
      </c>
      <c r="U308" s="188">
        <f>STDEV(D$2:D308)*SQRT(252)</f>
        <v>0.16971451435778193</v>
      </c>
      <c r="V308" s="188">
        <f>STDEV(L$2:L308)*SQRT(252)</f>
        <v>0.37006384127225039</v>
      </c>
      <c r="W308" s="186">
        <f t="shared" si="121"/>
        <v>0.12479391157737843</v>
      </c>
    </row>
    <row r="309" spans="1:23" ht="20.100000000000001" customHeight="1" x14ac:dyDescent="0.25">
      <c r="B309" s="175">
        <v>42705</v>
      </c>
      <c r="C309" s="219">
        <v>2191.08</v>
      </c>
      <c r="D309" s="174">
        <f t="shared" si="122"/>
        <v>-3.5155379500730025E-3</v>
      </c>
      <c r="E309" s="213">
        <f t="shared" si="114"/>
        <v>4.2160537280493078E-2</v>
      </c>
      <c r="F309" s="223">
        <v>5251.1</v>
      </c>
      <c r="G309" s="174">
        <f t="shared" si="123"/>
        <v>-1.3633426501968549E-2</v>
      </c>
      <c r="H309" s="207">
        <f t="shared" si="115"/>
        <v>3.1305850698195213E-2</v>
      </c>
      <c r="I309" s="225">
        <v>361692.5</v>
      </c>
      <c r="J309" s="176">
        <v>350000</v>
      </c>
      <c r="K309" s="176">
        <f t="shared" si="116"/>
        <v>-4471.0999999999767</v>
      </c>
      <c r="L309" s="174">
        <f t="shared" si="124"/>
        <v>-1.2210662119336758E-2</v>
      </c>
      <c r="M309" s="186">
        <f t="shared" si="106"/>
        <v>11692.5</v>
      </c>
      <c r="N309" s="188">
        <f t="shared" si="113"/>
        <v>3.3407142857142857E-2</v>
      </c>
      <c r="O309" s="186" t="b">
        <f t="shared" si="117"/>
        <v>0</v>
      </c>
      <c r="P309" s="188">
        <f>COUNTIF(O$2:O309, TRUE)/(COUNTIF(O$2:O309,FALSE) + COUNTIF(O$2:O309, TRUE))</f>
        <v>0.4935064935064935</v>
      </c>
      <c r="Q309" s="176">
        <v>254063.2</v>
      </c>
      <c r="R309" s="176">
        <f t="shared" si="108"/>
        <v>107629.29999999999</v>
      </c>
      <c r="S309" s="176">
        <v>-33426</v>
      </c>
      <c r="T309" s="176">
        <f t="shared" si="109"/>
        <v>45118.5</v>
      </c>
      <c r="U309" s="188">
        <f>STDEV(D$2:D309)*SQRT(252)</f>
        <v>0.16947047230211157</v>
      </c>
      <c r="V309" s="188">
        <f>STDEV(L$2:L309)*SQRT(252)</f>
        <v>0.36964383438211174</v>
      </c>
      <c r="W309" s="186">
        <f t="shared" si="121"/>
        <v>9.0376572662128882E-2</v>
      </c>
    </row>
    <row r="310" spans="1:23" ht="20.100000000000001" customHeight="1" x14ac:dyDescent="0.25">
      <c r="B310" s="175">
        <v>42706</v>
      </c>
      <c r="C310" s="219">
        <v>2191.9499999999998</v>
      </c>
      <c r="D310" s="174">
        <f t="shared" si="122"/>
        <v>3.9706446136147054E-4</v>
      </c>
      <c r="E310" s="213">
        <f t="shared" si="114"/>
        <v>4.2574342192880539E-2</v>
      </c>
      <c r="F310" s="223">
        <v>5255.65</v>
      </c>
      <c r="G310" s="174">
        <f t="shared" si="123"/>
        <v>8.664851174038339E-4</v>
      </c>
      <c r="H310" s="207">
        <f t="shared" si="115"/>
        <v>3.2199461869316694E-2</v>
      </c>
      <c r="I310" s="225">
        <v>313669.12</v>
      </c>
      <c r="J310" s="176">
        <v>300000</v>
      </c>
      <c r="K310" s="176">
        <f t="shared" si="116"/>
        <v>1976.6199999999953</v>
      </c>
      <c r="L310" s="174">
        <f t="shared" si="124"/>
        <v>5.4649184044457521E-3</v>
      </c>
      <c r="M310" s="186">
        <f t="shared" si="106"/>
        <v>13669.119999999995</v>
      </c>
      <c r="N310" s="188">
        <f t="shared" si="113"/>
        <v>4.5563733333333314E-2</v>
      </c>
      <c r="O310" s="186" t="b">
        <f t="shared" si="117"/>
        <v>1</v>
      </c>
      <c r="P310" s="188">
        <f>COUNTIF(O$2:O310, TRUE)/(COUNTIF(O$2:O310,FALSE) + COUNTIF(O$2:O310, TRUE))</f>
        <v>0.49514563106796117</v>
      </c>
      <c r="Q310" s="176">
        <v>254064.2</v>
      </c>
      <c r="R310" s="176">
        <f t="shared" si="108"/>
        <v>59604.919999999984</v>
      </c>
      <c r="S310" s="176">
        <v>-33097</v>
      </c>
      <c r="T310" s="176">
        <f t="shared" si="109"/>
        <v>46766.119999999995</v>
      </c>
      <c r="U310" s="188">
        <f>STDEV(D$2:D310)*SQRT(252)</f>
        <v>0.16919433911473156</v>
      </c>
      <c r="V310" s="188">
        <f>STDEV(L$2:L310)*SQRT(252)</f>
        <v>0.36906691391637653</v>
      </c>
      <c r="W310" s="186">
        <f t="shared" si="121"/>
        <v>0.12345656469129385</v>
      </c>
    </row>
    <row r="311" spans="1:23" ht="20.100000000000001" customHeight="1" x14ac:dyDescent="0.25">
      <c r="B311" s="248">
        <v>42709</v>
      </c>
      <c r="C311" s="249">
        <v>2204.71</v>
      </c>
      <c r="D311" s="174">
        <f t="shared" si="122"/>
        <v>5.821300668354761E-3</v>
      </c>
      <c r="E311" s="250">
        <f t="shared" si="114"/>
        <v>4.8643480907897482E-2</v>
      </c>
      <c r="F311" s="251">
        <v>5308.89</v>
      </c>
      <c r="G311" s="174">
        <f t="shared" si="123"/>
        <v>1.0130050517062722E-2</v>
      </c>
      <c r="H311" s="252">
        <f t="shared" si="115"/>
        <v>4.2655694561737831E-2</v>
      </c>
      <c r="I311" s="569">
        <v>315749.27</v>
      </c>
      <c r="J311" s="254">
        <v>300000</v>
      </c>
      <c r="K311" s="254">
        <f t="shared" si="116"/>
        <v>2080.1500000000233</v>
      </c>
      <c r="L311" s="174">
        <f t="shared" si="124"/>
        <v>6.6316697034123837E-3</v>
      </c>
      <c r="M311" s="255">
        <f t="shared" si="106"/>
        <v>15749.270000000019</v>
      </c>
      <c r="N311" s="256">
        <f t="shared" si="113"/>
        <v>5.2497566666666731E-2</v>
      </c>
      <c r="O311" s="255" t="b">
        <f t="shared" si="117"/>
        <v>1</v>
      </c>
      <c r="P311" s="256">
        <f>COUNTIF(O$2:O311, TRUE)/(COUNTIF(O$2:O311,FALSE) + COUNTIF(O$2:O311, TRUE))</f>
        <v>0.49677419354838709</v>
      </c>
      <c r="Q311" s="254">
        <v>256362.35</v>
      </c>
      <c r="R311" s="254">
        <f t="shared" si="108"/>
        <v>59386.920000000013</v>
      </c>
      <c r="S311" s="254">
        <v>-31763</v>
      </c>
      <c r="T311" s="254">
        <f t="shared" si="109"/>
        <v>47512.270000000019</v>
      </c>
      <c r="U311" s="256">
        <f>STDEV(D$2:D311)*SQRT(252)</f>
        <v>0.16899593279406544</v>
      </c>
      <c r="V311" s="256">
        <f>STDEV(L$2:L311)*SQRT(252)</f>
        <v>0.3685065540926854</v>
      </c>
      <c r="W311" s="255">
        <f t="shared" si="121"/>
        <v>0.14246033369996111</v>
      </c>
    </row>
    <row r="312" spans="1:23" ht="20.100000000000001" customHeight="1" x14ac:dyDescent="0.25">
      <c r="B312" s="248">
        <v>42710</v>
      </c>
      <c r="C312" s="249">
        <v>2212.23</v>
      </c>
      <c r="D312" s="174">
        <f t="shared" si="122"/>
        <v>3.4108794353905872E-3</v>
      </c>
      <c r="E312" s="250">
        <f t="shared" si="114"/>
        <v>5.2220277391982629E-2</v>
      </c>
      <c r="F312" s="251">
        <v>5333</v>
      </c>
      <c r="G312" s="174">
        <f t="shared" si="123"/>
        <v>4.5414389825367768E-3</v>
      </c>
      <c r="H312" s="252">
        <f t="shared" si="115"/>
        <v>4.7390851778384466E-2</v>
      </c>
      <c r="I312" s="569">
        <v>317812.25</v>
      </c>
      <c r="J312" s="254">
        <v>300000</v>
      </c>
      <c r="K312" s="254">
        <f t="shared" si="116"/>
        <v>2062.9799999999814</v>
      </c>
      <c r="L312" s="174">
        <f t="shared" si="124"/>
        <v>6.5336018037349102E-3</v>
      </c>
      <c r="M312" s="255">
        <f t="shared" ref="M312:M343" si="125">I312-J312</f>
        <v>17812.25</v>
      </c>
      <c r="N312" s="256">
        <f t="shared" si="113"/>
        <v>5.9374166666666665E-2</v>
      </c>
      <c r="O312" s="255" t="b">
        <f t="shared" si="117"/>
        <v>1</v>
      </c>
      <c r="P312" s="256">
        <f>COUNTIF(O$2:O312, TRUE)/(COUNTIF(O$2:O312,FALSE) + COUNTIF(O$2:O312, TRUE))</f>
        <v>0.49839228295819937</v>
      </c>
      <c r="Q312" s="254">
        <v>247476.7</v>
      </c>
      <c r="R312" s="254">
        <f t="shared" si="108"/>
        <v>70335.549999999988</v>
      </c>
      <c r="S312" s="254">
        <v>-30573</v>
      </c>
      <c r="T312" s="254">
        <f t="shared" si="109"/>
        <v>48385.25</v>
      </c>
      <c r="U312" s="256">
        <f>STDEV(D$2:D312)*SQRT(252)</f>
        <v>0.1687469337814691</v>
      </c>
      <c r="V312" s="256">
        <f>STDEV(L$2:L312)*SQRT(252)</f>
        <v>0.36794744748761488</v>
      </c>
      <c r="W312" s="255">
        <f t="shared" si="121"/>
        <v>0.16136588817799913</v>
      </c>
    </row>
    <row r="313" spans="1:23" ht="20.100000000000001" customHeight="1" x14ac:dyDescent="0.25">
      <c r="B313" s="248">
        <v>42711</v>
      </c>
      <c r="C313" s="249">
        <v>2241.35</v>
      </c>
      <c r="D313" s="174">
        <f t="shared" si="122"/>
        <v>1.316318827608336E-2</v>
      </c>
      <c r="E313" s="250">
        <f t="shared" si="114"/>
        <v>6.6070851011205953E-2</v>
      </c>
      <c r="F313" s="251">
        <v>5393.76</v>
      </c>
      <c r="G313" s="174">
        <f t="shared" si="123"/>
        <v>1.1393212075754776E-2</v>
      </c>
      <c r="H313" s="252">
        <f t="shared" si="115"/>
        <v>5.9323997878901039E-2</v>
      </c>
      <c r="I313" s="569">
        <v>321172.03999999998</v>
      </c>
      <c r="J313" s="254">
        <v>300000</v>
      </c>
      <c r="K313" s="254">
        <f t="shared" si="116"/>
        <v>3359.789999999979</v>
      </c>
      <c r="L313" s="174">
        <f t="shared" si="124"/>
        <v>1.0571618935393394E-2</v>
      </c>
      <c r="M313" s="255">
        <f t="shared" si="125"/>
        <v>21172.039999999979</v>
      </c>
      <c r="N313" s="256">
        <f t="shared" si="113"/>
        <v>7.0573466666666598E-2</v>
      </c>
      <c r="O313" s="255" t="b">
        <f t="shared" si="117"/>
        <v>0</v>
      </c>
      <c r="P313" s="256">
        <f>COUNTIF(O$2:O313, TRUE)/(COUNTIF(O$2:O313,FALSE) + COUNTIF(O$2:O313, TRUE))</f>
        <v>0.49679487179487181</v>
      </c>
      <c r="Q313" s="254">
        <v>220777.60000000001</v>
      </c>
      <c r="R313" s="254">
        <f t="shared" si="108"/>
        <v>100394.43999999997</v>
      </c>
      <c r="S313" s="254">
        <v>-30508</v>
      </c>
      <c r="T313" s="254">
        <f t="shared" si="109"/>
        <v>51680.039999999979</v>
      </c>
      <c r="U313" s="256">
        <f>STDEV(D$2:D313)*SQRT(252)</f>
        <v>0.16887690023643279</v>
      </c>
      <c r="V313" s="256">
        <f>STDEV(L$2:L313)*SQRT(252)</f>
        <v>0.36746067349044381</v>
      </c>
      <c r="W313" s="255">
        <f t="shared" ref="W313:W344" si="126">N313/V313</f>
        <v>0.19205719620633616</v>
      </c>
    </row>
    <row r="314" spans="1:23" ht="20.100000000000001" customHeight="1" x14ac:dyDescent="0.25">
      <c r="B314" s="248">
        <v>42712</v>
      </c>
      <c r="C314" s="249">
        <v>2246.19</v>
      </c>
      <c r="D314" s="174">
        <f t="shared" si="122"/>
        <v>2.1594128538604618E-3</v>
      </c>
      <c r="E314" s="250">
        <f t="shared" si="114"/>
        <v>6.8372938110005513E-2</v>
      </c>
      <c r="F314" s="251">
        <v>5417.35</v>
      </c>
      <c r="G314" s="174">
        <f t="shared" si="123"/>
        <v>4.3735724244312211E-3</v>
      </c>
      <c r="H314" s="252">
        <f t="shared" si="115"/>
        <v>6.3957028104562441E-2</v>
      </c>
      <c r="I314" s="569">
        <v>322327.21999999997</v>
      </c>
      <c r="J314" s="254">
        <v>300000</v>
      </c>
      <c r="K314" s="254">
        <f t="shared" si="116"/>
        <v>1155.179999999993</v>
      </c>
      <c r="L314" s="174">
        <f t="shared" si="124"/>
        <v>3.596763902611177E-3</v>
      </c>
      <c r="M314" s="255">
        <f t="shared" si="125"/>
        <v>22327.219999999972</v>
      </c>
      <c r="N314" s="256">
        <f t="shared" si="113"/>
        <v>7.442406666666658E-2</v>
      </c>
      <c r="O314" s="255" t="b">
        <f t="shared" si="117"/>
        <v>1</v>
      </c>
      <c r="P314" s="256">
        <f>COUNTIF(O$2:O314, TRUE)/(COUNTIF(O$2:O314,FALSE) + COUNTIF(O$2:O314, TRUE))</f>
        <v>0.49840255591054311</v>
      </c>
      <c r="Q314" s="254">
        <v>216214.39999999999</v>
      </c>
      <c r="R314" s="254">
        <f t="shared" si="108"/>
        <v>106112.81999999998</v>
      </c>
      <c r="S314" s="254">
        <v>-30163</v>
      </c>
      <c r="T314" s="254">
        <f t="shared" si="109"/>
        <v>52490.219999999972</v>
      </c>
      <c r="U314" s="256">
        <f>STDEV(D$2:D314)*SQRT(252)</f>
        <v>0.16861379822258454</v>
      </c>
      <c r="V314" s="256">
        <f>STDEV(L$2:L314)*SQRT(252)</f>
        <v>0.36687837723498989</v>
      </c>
      <c r="W314" s="255">
        <f t="shared" si="126"/>
        <v>0.20285759882490184</v>
      </c>
    </row>
    <row r="315" spans="1:23" ht="20.100000000000001" customHeight="1" x14ac:dyDescent="0.25">
      <c r="B315" s="248">
        <v>42713</v>
      </c>
      <c r="C315" s="249">
        <v>2259.5300000000002</v>
      </c>
      <c r="D315" s="174">
        <f t="shared" si="122"/>
        <v>5.9389455032744986E-3</v>
      </c>
      <c r="E315" s="250">
        <f t="shared" si="114"/>
        <v>7.4717946766614099E-2</v>
      </c>
      <c r="F315" s="251">
        <v>5444.49</v>
      </c>
      <c r="G315" s="174">
        <f t="shared" si="123"/>
        <v>5.0098295291977476E-3</v>
      </c>
      <c r="H315" s="252">
        <f t="shared" si="115"/>
        <v>6.9287271441758155E-2</v>
      </c>
      <c r="I315" s="569">
        <v>323626.28000000003</v>
      </c>
      <c r="J315" s="254">
        <v>300000</v>
      </c>
      <c r="K315" s="254">
        <f t="shared" si="116"/>
        <v>1299.0600000000559</v>
      </c>
      <c r="L315" s="174">
        <f t="shared" si="124"/>
        <v>4.0302522387034396E-3</v>
      </c>
      <c r="M315" s="255">
        <f t="shared" si="125"/>
        <v>23626.280000000028</v>
      </c>
      <c r="N315" s="256">
        <f t="shared" si="113"/>
        <v>7.8754266666666753E-2</v>
      </c>
      <c r="O315" s="255" t="b">
        <f t="shared" si="117"/>
        <v>0</v>
      </c>
      <c r="P315" s="256">
        <f>COUNTIF(O$2:O315, TRUE)/(COUNTIF(O$2:O315,FALSE) + COUNTIF(O$2:O315, TRUE))</f>
        <v>0.49681528662420382</v>
      </c>
      <c r="Q315" s="254">
        <v>204478.8</v>
      </c>
      <c r="R315" s="254">
        <f t="shared" si="108"/>
        <v>119147.48000000004</v>
      </c>
      <c r="S315" s="254">
        <v>-28680</v>
      </c>
      <c r="T315" s="254">
        <f t="shared" si="109"/>
        <v>52306.280000000028</v>
      </c>
      <c r="U315" s="256">
        <f>STDEV(D$2:D315)*SQRT(252)</f>
        <v>0.16842024942459102</v>
      </c>
      <c r="V315" s="256">
        <f>STDEV(L$2:L315)*SQRT(252)</f>
        <v>0.36630175469945664</v>
      </c>
      <c r="W315" s="255">
        <f t="shared" si="126"/>
        <v>0.21499833308547231</v>
      </c>
    </row>
    <row r="316" spans="1:23" ht="20.100000000000001" customHeight="1" x14ac:dyDescent="0.25">
      <c r="B316" s="175">
        <v>42716</v>
      </c>
      <c r="C316" s="219">
        <v>2256.96</v>
      </c>
      <c r="D316" s="174">
        <f t="shared" si="122"/>
        <v>-1.137404681504633E-3</v>
      </c>
      <c r="E316" s="213">
        <f t="shared" si="114"/>
        <v>7.3495557542664708E-2</v>
      </c>
      <c r="F316" s="223">
        <v>5412.54</v>
      </c>
      <c r="G316" s="174">
        <f t="shared" si="123"/>
        <v>-5.8683182446840421E-3</v>
      </c>
      <c r="H316" s="207">
        <f t="shared" si="115"/>
        <v>6.301235343794806E-2</v>
      </c>
      <c r="I316" s="225">
        <v>324351.42</v>
      </c>
      <c r="J316" s="176">
        <v>300000</v>
      </c>
      <c r="K316" s="176">
        <f t="shared" si="116"/>
        <v>725.13999999995576</v>
      </c>
      <c r="L316" s="174">
        <f t="shared" si="124"/>
        <v>2.2406709368595025E-3</v>
      </c>
      <c r="M316" s="186">
        <f t="shared" si="125"/>
        <v>24351.419999999984</v>
      </c>
      <c r="N316" s="188">
        <f t="shared" si="113"/>
        <v>8.1171399999999949E-2</v>
      </c>
      <c r="O316" s="186" t="b">
        <f t="shared" si="117"/>
        <v>1</v>
      </c>
      <c r="P316" s="188">
        <f>COUNTIF(O$2:O316, TRUE)/(COUNTIF(O$2:O316,FALSE) + COUNTIF(O$2:O316, TRUE))</f>
        <v>0.49841269841269842</v>
      </c>
      <c r="Q316" s="176">
        <v>230456.1</v>
      </c>
      <c r="R316" s="176">
        <f t="shared" si="108"/>
        <v>93895.319999999978</v>
      </c>
      <c r="S316" s="176">
        <v>-29165</v>
      </c>
      <c r="T316" s="176">
        <f t="shared" si="109"/>
        <v>53516.419999999984</v>
      </c>
      <c r="U316" s="188">
        <f>STDEV(D$2:D316)*SQRT(252)</f>
        <v>0.16815582865464937</v>
      </c>
      <c r="V316" s="188">
        <f>STDEV(L$2:L316)*SQRT(252)</f>
        <v>0.36571853063602927</v>
      </c>
      <c r="W316" s="186">
        <f t="shared" si="126"/>
        <v>0.22195047064974519</v>
      </c>
    </row>
    <row r="317" spans="1:23" ht="20.100000000000001" customHeight="1" x14ac:dyDescent="0.25">
      <c r="B317" s="175">
        <v>42717</v>
      </c>
      <c r="C317" s="219">
        <v>2271.7199999999998</v>
      </c>
      <c r="D317" s="174">
        <f t="shared" ref="D317:D324" si="127">(C317-C316)/C316</f>
        <v>6.539770310506063E-3</v>
      </c>
      <c r="E317" s="213">
        <f t="shared" si="114"/>
        <v>8.051597191834238E-2</v>
      </c>
      <c r="F317" s="223">
        <v>5463.82</v>
      </c>
      <c r="G317" s="174">
        <f t="shared" si="123"/>
        <v>9.47429487819023E-3</v>
      </c>
      <c r="H317" s="207">
        <f t="shared" si="115"/>
        <v>7.3083645933578162E-2</v>
      </c>
      <c r="I317" s="225">
        <v>326932.27</v>
      </c>
      <c r="J317" s="176">
        <v>300000</v>
      </c>
      <c r="K317" s="176">
        <f t="shared" si="116"/>
        <v>2580.8500000000349</v>
      </c>
      <c r="L317" s="174">
        <f t="shared" si="124"/>
        <v>7.9569560694386209E-3</v>
      </c>
      <c r="M317" s="186">
        <f t="shared" si="125"/>
        <v>26932.270000000019</v>
      </c>
      <c r="N317" s="188">
        <f t="shared" si="113"/>
        <v>8.9774233333333397E-2</v>
      </c>
      <c r="O317" s="186" t="b">
        <f t="shared" si="117"/>
        <v>1</v>
      </c>
      <c r="P317" s="188">
        <f>COUNTIF(O$2:O317, TRUE)/(COUNTIF(O$2:O317,FALSE) + COUNTIF(O$2:O317, TRUE))</f>
        <v>0.5</v>
      </c>
      <c r="Q317" s="176">
        <v>227241.15</v>
      </c>
      <c r="R317" s="176">
        <f t="shared" ref="R317:R325" si="128">I317-Q317</f>
        <v>99691.120000000024</v>
      </c>
      <c r="S317" s="176">
        <v>-28375</v>
      </c>
      <c r="T317" s="176">
        <f t="shared" ref="T317:T348" si="129">M317-S317</f>
        <v>55307.270000000019</v>
      </c>
      <c r="U317" s="188">
        <f>STDEV(D$2:D317)*SQRT(252)</f>
        <v>0.16798113436370918</v>
      </c>
      <c r="V317" s="188">
        <f>STDEV(L$2:L317)*SQRT(252)</f>
        <v>0.36519230283112208</v>
      </c>
      <c r="W317" s="186">
        <f t="shared" si="126"/>
        <v>0.24582728780800234</v>
      </c>
    </row>
    <row r="318" spans="1:23" ht="20.100000000000001" customHeight="1" x14ac:dyDescent="0.25">
      <c r="B318" s="175">
        <v>42718</v>
      </c>
      <c r="C318" s="219">
        <v>2253.2800000000002</v>
      </c>
      <c r="D318" s="174">
        <f t="shared" si="127"/>
        <v>-8.1171975419504164E-3</v>
      </c>
      <c r="E318" s="213">
        <f t="shared" si="114"/>
        <v>7.1745210327048642E-2</v>
      </c>
      <c r="F318" s="223">
        <v>5436.67</v>
      </c>
      <c r="G318" s="174">
        <f t="shared" si="123"/>
        <v>-4.9690509570226764E-3</v>
      </c>
      <c r="H318" s="207">
        <f t="shared" si="115"/>
        <v>6.775143861578653E-2</v>
      </c>
      <c r="I318" s="225">
        <v>323187.58</v>
      </c>
      <c r="J318" s="176">
        <v>300000</v>
      </c>
      <c r="K318" s="176">
        <f t="shared" si="116"/>
        <v>-3744.6900000000023</v>
      </c>
      <c r="L318" s="174">
        <f t="shared" si="124"/>
        <v>-1.1454023795203827E-2</v>
      </c>
      <c r="M318" s="186">
        <f t="shared" si="125"/>
        <v>23187.580000000016</v>
      </c>
      <c r="N318" s="188">
        <f t="shared" ref="N318:N349" si="130">M318/J318</f>
        <v>7.7291933333333382E-2</v>
      </c>
      <c r="O318" s="186" t="b">
        <f t="shared" si="117"/>
        <v>0</v>
      </c>
      <c r="P318" s="188">
        <f>COUNTIF(O$2:O318, TRUE)/(COUNTIF(O$2:O318,FALSE) + COUNTIF(O$2:O318, TRUE))</f>
        <v>0.49842271293375395</v>
      </c>
      <c r="Q318" s="176">
        <v>227414.39999999999</v>
      </c>
      <c r="R318" s="176">
        <f t="shared" si="128"/>
        <v>95773.180000000022</v>
      </c>
      <c r="S318" s="176">
        <v>-28896</v>
      </c>
      <c r="T318" s="176">
        <f t="shared" si="129"/>
        <v>52083.580000000016</v>
      </c>
      <c r="U318" s="188">
        <f>STDEV(D$2:D318)*SQRT(252)</f>
        <v>0.1678827042507858</v>
      </c>
      <c r="V318" s="188">
        <f>STDEV(L$2:L318)*SQRT(252)</f>
        <v>0.36477613743457138</v>
      </c>
      <c r="W318" s="186">
        <f t="shared" si="126"/>
        <v>0.21188867746919701</v>
      </c>
    </row>
    <row r="319" spans="1:23" ht="20.100000000000001" customHeight="1" x14ac:dyDescent="0.25">
      <c r="B319" s="175">
        <v>42719</v>
      </c>
      <c r="C319" s="219">
        <v>2262.0300000000002</v>
      </c>
      <c r="D319" s="174">
        <f t="shared" si="127"/>
        <v>3.8832280053965771E-3</v>
      </c>
      <c r="E319" s="213">
        <f t="shared" si="114"/>
        <v>7.5907041342440279E-2</v>
      </c>
      <c r="F319" s="223">
        <v>5456.85</v>
      </c>
      <c r="G319" s="174">
        <f t="shared" si="123"/>
        <v>3.7118309553458811E-3</v>
      </c>
      <c r="H319" s="207">
        <f t="shared" si="115"/>
        <v>7.1714751458255704E-2</v>
      </c>
      <c r="I319" s="225">
        <v>324820.98</v>
      </c>
      <c r="J319" s="176">
        <v>300000</v>
      </c>
      <c r="K319" s="176">
        <f t="shared" si="116"/>
        <v>1633.3999999999651</v>
      </c>
      <c r="L319" s="174">
        <f t="shared" si="124"/>
        <v>5.0540308510616805E-3</v>
      </c>
      <c r="M319" s="186">
        <f t="shared" si="125"/>
        <v>24820.979999999981</v>
      </c>
      <c r="N319" s="188">
        <f t="shared" si="130"/>
        <v>8.2736599999999938E-2</v>
      </c>
      <c r="O319" s="186" t="b">
        <f t="shared" si="117"/>
        <v>1</v>
      </c>
      <c r="P319" s="188">
        <f>COUNTIF(O$2:O319, TRUE)/(COUNTIF(O$2:O319,FALSE) + COUNTIF(O$2:O319, TRUE))</f>
        <v>0.5</v>
      </c>
      <c r="Q319" s="176">
        <v>232165.8</v>
      </c>
      <c r="R319" s="176">
        <f t="shared" si="128"/>
        <v>92655.18</v>
      </c>
      <c r="S319" s="176">
        <v>-28562</v>
      </c>
      <c r="T319" s="176">
        <f t="shared" si="129"/>
        <v>53382.979999999981</v>
      </c>
      <c r="U319" s="188">
        <f>STDEV(D$2:D319)*SQRT(252)</f>
        <v>0.16764772855773447</v>
      </c>
      <c r="V319" s="188">
        <f>STDEV(L$2:L319)*SQRT(252)</f>
        <v>0.36421868785433931</v>
      </c>
      <c r="W319" s="186">
        <f t="shared" si="126"/>
        <v>0.22716187488185255</v>
      </c>
    </row>
    <row r="320" spans="1:23" ht="20.100000000000001" customHeight="1" x14ac:dyDescent="0.25">
      <c r="B320" s="175">
        <v>42720</v>
      </c>
      <c r="C320" s="219">
        <v>2258.0700000000002</v>
      </c>
      <c r="D320" s="174">
        <f t="shared" si="127"/>
        <v>-1.7506399119375233E-3</v>
      </c>
      <c r="E320" s="213">
        <f t="shared" ref="E320:E351" si="131">(C320-$C$2)/$C$2</f>
        <v>7.4023515534331591E-2</v>
      </c>
      <c r="F320" s="223">
        <v>5437.16</v>
      </c>
      <c r="G320" s="174">
        <f t="shared" si="123"/>
        <v>-3.6083088228557698E-3</v>
      </c>
      <c r="H320" s="207">
        <f t="shared" ref="H320:H351" si="132">(F320-F$2)/F$2</f>
        <v>6.7847673664984204E-2</v>
      </c>
      <c r="I320" s="225">
        <v>327045.52</v>
      </c>
      <c r="J320" s="176">
        <v>300000</v>
      </c>
      <c r="K320" s="176">
        <f t="shared" ref="K320:K351" si="133">I320-I319-J320+J319</f>
        <v>2224.5400000000373</v>
      </c>
      <c r="L320" s="174">
        <f t="shared" si="124"/>
        <v>6.8485108320282678E-3</v>
      </c>
      <c r="M320" s="186">
        <f t="shared" si="125"/>
        <v>27045.520000000019</v>
      </c>
      <c r="N320" s="188">
        <f t="shared" si="130"/>
        <v>9.01517333333334E-2</v>
      </c>
      <c r="O320" s="186" t="b">
        <f t="shared" ref="O320:O351" si="134">L320&gt;D320</f>
        <v>1</v>
      </c>
      <c r="P320" s="188">
        <f>COUNTIF(O$2:O320, TRUE)/(COUNTIF(O$2:O320,FALSE) + COUNTIF(O$2:O320, TRUE))</f>
        <v>0.50156739811912221</v>
      </c>
      <c r="Q320" s="176">
        <v>231412.84</v>
      </c>
      <c r="R320" s="176">
        <f t="shared" si="128"/>
        <v>95632.680000000022</v>
      </c>
      <c r="S320" s="176">
        <v>-28561</v>
      </c>
      <c r="T320" s="176">
        <f t="shared" si="129"/>
        <v>55606.520000000019</v>
      </c>
      <c r="U320" s="188">
        <f>STDEV(D$2:D320)*SQRT(252)</f>
        <v>0.16739291241779608</v>
      </c>
      <c r="V320" s="188">
        <f>STDEV(L$2:L320)*SQRT(252)</f>
        <v>0.36368405399671344</v>
      </c>
      <c r="W320" s="186">
        <f t="shared" si="126"/>
        <v>0.24788475695485976</v>
      </c>
    </row>
    <row r="321" spans="2:23" ht="20.100000000000001" customHeight="1" x14ac:dyDescent="0.25">
      <c r="B321" s="248">
        <v>42723</v>
      </c>
      <c r="C321" s="249">
        <v>2262.5300000000002</v>
      </c>
      <c r="D321" s="174">
        <f t="shared" si="127"/>
        <v>1.9751380603790121E-3</v>
      </c>
      <c r="E321" s="250">
        <f t="shared" si="131"/>
        <v>7.6144860257605515E-2</v>
      </c>
      <c r="F321" s="251">
        <v>5457.44</v>
      </c>
      <c r="G321" s="174">
        <f t="shared" si="123"/>
        <v>3.7298883976192988E-3</v>
      </c>
      <c r="H321" s="252">
        <f t="shared" si="132"/>
        <v>7.1830626313411985E-2</v>
      </c>
      <c r="I321" s="569">
        <v>327054.27</v>
      </c>
      <c r="J321" s="254">
        <v>300000</v>
      </c>
      <c r="K321" s="254">
        <f t="shared" si="133"/>
        <v>8.75</v>
      </c>
      <c r="L321" s="174">
        <f t="shared" si="124"/>
        <v>2.6754685402814872E-5</v>
      </c>
      <c r="M321" s="255">
        <f t="shared" si="125"/>
        <v>27054.270000000019</v>
      </c>
      <c r="N321" s="256">
        <f t="shared" si="130"/>
        <v>9.0180900000000064E-2</v>
      </c>
      <c r="O321" s="255" t="b">
        <f t="shared" si="134"/>
        <v>0</v>
      </c>
      <c r="P321" s="256">
        <f>COUNTIF(O$2:O321, TRUE)/(COUNTIF(O$2:O321,FALSE) + COUNTIF(O$2:O321, TRUE))</f>
        <v>0.5</v>
      </c>
      <c r="Q321" s="254">
        <v>231413.84</v>
      </c>
      <c r="R321" s="254">
        <f t="shared" si="128"/>
        <v>95640.430000000022</v>
      </c>
      <c r="S321" s="254">
        <v>-28148</v>
      </c>
      <c r="T321" s="254">
        <f t="shared" si="129"/>
        <v>55202.270000000019</v>
      </c>
      <c r="U321" s="256">
        <f>STDEV(D$2:D321)*SQRT(252)</f>
        <v>0.16713630063292181</v>
      </c>
      <c r="V321" s="256">
        <f>STDEV(L$2:L321)*SQRT(252)</f>
        <v>0.36311240060215538</v>
      </c>
      <c r="W321" s="255">
        <f t="shared" si="126"/>
        <v>0.24835532978342675</v>
      </c>
    </row>
    <row r="322" spans="2:23" ht="20.100000000000001" customHeight="1" x14ac:dyDescent="0.25">
      <c r="B322" s="248">
        <v>42724</v>
      </c>
      <c r="C322" s="249">
        <v>2270.7600000000002</v>
      </c>
      <c r="D322" s="174">
        <f t="shared" si="127"/>
        <v>3.6375208284531112E-3</v>
      </c>
      <c r="E322" s="250">
        <f t="shared" si="131"/>
        <v>8.0059359601225316E-2</v>
      </c>
      <c r="F322" s="251">
        <v>5483.94</v>
      </c>
      <c r="G322" s="174">
        <f>(F322-F321)/F321</f>
        <v>4.8557565451933507E-3</v>
      </c>
      <c r="H322" s="252">
        <f t="shared" si="132"/>
        <v>7.7035174892472025E-2</v>
      </c>
      <c r="I322" s="569">
        <v>325810.98</v>
      </c>
      <c r="J322" s="254">
        <v>300000</v>
      </c>
      <c r="K322" s="254">
        <f t="shared" si="133"/>
        <v>-1243.2900000000373</v>
      </c>
      <c r="L322" s="174">
        <f>K322/I321</f>
        <v>-3.8014791857022296E-3</v>
      </c>
      <c r="M322" s="255">
        <f t="shared" si="125"/>
        <v>25810.979999999981</v>
      </c>
      <c r="N322" s="256">
        <f t="shared" si="130"/>
        <v>8.6036599999999935E-2</v>
      </c>
      <c r="O322" s="255" t="b">
        <f t="shared" si="134"/>
        <v>0</v>
      </c>
      <c r="P322" s="256">
        <f>COUNTIF(O$2:O322, TRUE)/(COUNTIF(O$2:O322,FALSE) + COUNTIF(O$2:O322, TRUE))</f>
        <v>0.49844236760124611</v>
      </c>
      <c r="Q322" s="254">
        <v>230633.3</v>
      </c>
      <c r="R322" s="254">
        <f t="shared" si="128"/>
        <v>95177.68</v>
      </c>
      <c r="S322" s="254">
        <v>-28828</v>
      </c>
      <c r="T322" s="254">
        <f t="shared" si="129"/>
        <v>54638.979999999981</v>
      </c>
      <c r="U322" s="256">
        <f>STDEV(D$2:D322)*SQRT(252)</f>
        <v>0.16690064073830019</v>
      </c>
      <c r="V322" s="256">
        <f>STDEV(L$2:L322)*SQRT(252)</f>
        <v>0.36256564475592484</v>
      </c>
      <c r="W322" s="255">
        <f t="shared" si="126"/>
        <v>0.23729937252581892</v>
      </c>
    </row>
    <row r="323" spans="2:23" ht="20.100000000000001" customHeight="1" x14ac:dyDescent="0.25">
      <c r="B323" s="248">
        <v>42725</v>
      </c>
      <c r="C323" s="249">
        <v>2265.1799999999998</v>
      </c>
      <c r="D323" s="174">
        <f t="shared" si="127"/>
        <v>-2.4573270623052994E-3</v>
      </c>
      <c r="E323" s="250">
        <f t="shared" si="131"/>
        <v>7.7405300507981098E-2</v>
      </c>
      <c r="F323" s="251">
        <v>5471.43</v>
      </c>
      <c r="G323" s="174">
        <f>(F323-F322)/F322</f>
        <v>-2.2812065777523659E-3</v>
      </c>
      <c r="H323" s="252">
        <f t="shared" si="132"/>
        <v>7.4578235167036641E-2</v>
      </c>
      <c r="I323" s="569">
        <v>324443.28000000003</v>
      </c>
      <c r="J323" s="254">
        <v>300000</v>
      </c>
      <c r="K323" s="254">
        <f t="shared" si="133"/>
        <v>-1367.6999999999534</v>
      </c>
      <c r="L323" s="174">
        <f t="shared" ref="L323:L374" si="135">K323/I322</f>
        <v>-4.1978327433899055E-3</v>
      </c>
      <c r="M323" s="255">
        <f t="shared" si="125"/>
        <v>24443.280000000028</v>
      </c>
      <c r="N323" s="256">
        <f t="shared" si="130"/>
        <v>8.1477600000000094E-2</v>
      </c>
      <c r="O323" s="255" t="b">
        <f t="shared" si="134"/>
        <v>0</v>
      </c>
      <c r="P323" s="256">
        <f>COUNTIF(O$2:O323, TRUE)/(COUNTIF(O$2:O323,FALSE) + COUNTIF(O$2:O323, TRUE))</f>
        <v>0.49689440993788819</v>
      </c>
      <c r="Q323" s="254">
        <v>231596.6</v>
      </c>
      <c r="R323" s="254">
        <f t="shared" si="128"/>
        <v>92846.680000000022</v>
      </c>
      <c r="S323" s="254">
        <v>-28725</v>
      </c>
      <c r="T323" s="254">
        <f t="shared" si="129"/>
        <v>53168.280000000028</v>
      </c>
      <c r="U323" s="256">
        <f>STDEV(D$2:D323)*SQRT(252)</f>
        <v>0.16665750598477963</v>
      </c>
      <c r="V323" s="256">
        <f>STDEV(L$2:L323)*SQRT(252)</f>
        <v>0.36202544499478717</v>
      </c>
      <c r="W323" s="255">
        <f t="shared" si="126"/>
        <v>0.22506042358755554</v>
      </c>
    </row>
    <row r="324" spans="2:23" ht="20.100000000000001" customHeight="1" x14ac:dyDescent="0.25">
      <c r="B324" s="248">
        <v>42726</v>
      </c>
      <c r="C324" s="249">
        <v>2260.96</v>
      </c>
      <c r="D324" s="174">
        <f t="shared" si="127"/>
        <v>-1.8629866059208541E-3</v>
      </c>
      <c r="E324" s="250">
        <f t="shared" si="131"/>
        <v>7.5398108863986596E-2</v>
      </c>
      <c r="F324" s="251">
        <v>5447.42</v>
      </c>
      <c r="G324" s="174">
        <f t="shared" ref="G324:G334" si="136">(F324-F323)/F323</f>
        <v>-4.3882495069845024E-3</v>
      </c>
      <c r="H324" s="252">
        <f t="shared" si="132"/>
        <v>6.9862717756348613E-2</v>
      </c>
      <c r="I324" s="569">
        <v>328249.78000000003</v>
      </c>
      <c r="J324" s="254">
        <v>300000</v>
      </c>
      <c r="K324" s="254">
        <f t="shared" si="133"/>
        <v>3806.5</v>
      </c>
      <c r="L324" s="174">
        <f t="shared" si="135"/>
        <v>1.1732405121782764E-2</v>
      </c>
      <c r="M324" s="255">
        <f t="shared" si="125"/>
        <v>28249.780000000028</v>
      </c>
      <c r="N324" s="256">
        <f t="shared" si="130"/>
        <v>9.4165933333333424E-2</v>
      </c>
      <c r="O324" s="255" t="b">
        <f t="shared" si="134"/>
        <v>1</v>
      </c>
      <c r="P324" s="256">
        <f>COUNTIF(O$2:O324, TRUE)/(COUNTIF(O$2:O324,FALSE) + COUNTIF(O$2:O324, TRUE))</f>
        <v>0.49845201238390091</v>
      </c>
      <c r="Q324" s="254">
        <v>235403.1</v>
      </c>
      <c r="R324" s="254">
        <f t="shared" si="128"/>
        <v>92846.680000000022</v>
      </c>
      <c r="S324" s="254">
        <v>-28852</v>
      </c>
      <c r="T324" s="254">
        <f t="shared" si="129"/>
        <v>57101.780000000028</v>
      </c>
      <c r="U324" s="256">
        <f>STDEV(D$2:D324)*SQRT(252)</f>
        <v>0.16640858320872839</v>
      </c>
      <c r="V324" s="256">
        <f>STDEV(L$2:L324)*SQRT(252)</f>
        <v>0.36159155840983148</v>
      </c>
      <c r="W324" s="255">
        <f t="shared" si="126"/>
        <v>0.2604207181922229</v>
      </c>
    </row>
    <row r="325" spans="2:23" ht="20.100000000000001" customHeight="1" x14ac:dyDescent="0.25">
      <c r="B325" s="248">
        <v>42727</v>
      </c>
      <c r="C325" s="249">
        <v>2263.79</v>
      </c>
      <c r="D325" s="174">
        <f t="shared" ref="D325:D334" si="137">(C325-C324)/C324</f>
        <v>1.251680702002657E-3</v>
      </c>
      <c r="E325" s="250">
        <f t="shared" si="131"/>
        <v>7.6744163923821801E-2</v>
      </c>
      <c r="F325" s="251">
        <v>5462.68</v>
      </c>
      <c r="G325" s="174">
        <f t="shared" si="136"/>
        <v>2.8013261323709604E-3</v>
      </c>
      <c r="H325" s="252">
        <f t="shared" si="132"/>
        <v>7.2859752145648896E-2</v>
      </c>
      <c r="I325" s="569">
        <v>329298.48</v>
      </c>
      <c r="J325" s="254">
        <v>300000</v>
      </c>
      <c r="K325" s="254">
        <f t="shared" si="133"/>
        <v>1048.6999999999534</v>
      </c>
      <c r="L325" s="174">
        <f t="shared" si="135"/>
        <v>3.1948231618006062E-3</v>
      </c>
      <c r="M325" s="255">
        <f t="shared" si="125"/>
        <v>29298.479999999981</v>
      </c>
      <c r="N325" s="256">
        <f t="shared" si="130"/>
        <v>9.7661599999999932E-2</v>
      </c>
      <c r="O325" s="255" t="b">
        <f t="shared" si="134"/>
        <v>1</v>
      </c>
      <c r="P325" s="256">
        <f>COUNTIF(O$2:O325, TRUE)/(COUNTIF(O$2:O325,FALSE) + COUNTIF(O$2:O325, TRUE))</f>
        <v>0.5</v>
      </c>
      <c r="Q325" s="254">
        <v>236451.8</v>
      </c>
      <c r="R325" s="254">
        <f t="shared" si="128"/>
        <v>92846.68</v>
      </c>
      <c r="S325" s="254">
        <v>-28456</v>
      </c>
      <c r="T325" s="254">
        <f t="shared" si="129"/>
        <v>57754.479999999981</v>
      </c>
      <c r="U325" s="256">
        <f>STDEV(D$2:D325)*SQRT(252)</f>
        <v>0.16615219867312236</v>
      </c>
      <c r="V325" s="256">
        <f>STDEV(L$2:L325)*SQRT(252)</f>
        <v>0.36103590347828884</v>
      </c>
      <c r="W325" s="255">
        <f t="shared" si="126"/>
        <v>0.27050384479523898</v>
      </c>
    </row>
    <row r="326" spans="2:23" ht="20.100000000000001" customHeight="1" x14ac:dyDescent="0.25">
      <c r="B326" s="175">
        <v>42731</v>
      </c>
      <c r="C326" s="219">
        <v>2268.88</v>
      </c>
      <c r="D326" s="174">
        <f t="shared" si="137"/>
        <v>2.2484417724259521E-3</v>
      </c>
      <c r="E326" s="213">
        <f t="shared" si="131"/>
        <v>7.9165160480203972E-2</v>
      </c>
      <c r="F326" s="223">
        <v>5487.44</v>
      </c>
      <c r="G326" s="174">
        <f t="shared" si="136"/>
        <v>4.5325737550065736E-3</v>
      </c>
      <c r="H326" s="207">
        <f t="shared" si="132"/>
        <v>7.7722568101027123E-2</v>
      </c>
      <c r="I326" s="225">
        <v>330109.08</v>
      </c>
      <c r="J326" s="176">
        <v>300000</v>
      </c>
      <c r="K326" s="176">
        <f t="shared" si="133"/>
        <v>810.60000000003492</v>
      </c>
      <c r="L326" s="174">
        <f t="shared" si="135"/>
        <v>2.4615965430512614E-3</v>
      </c>
      <c r="M326" s="186">
        <f t="shared" si="125"/>
        <v>30109.080000000016</v>
      </c>
      <c r="N326" s="188">
        <f t="shared" si="130"/>
        <v>0.10036360000000005</v>
      </c>
      <c r="O326" s="186" t="b">
        <f t="shared" si="134"/>
        <v>1</v>
      </c>
      <c r="P326" s="188">
        <f>COUNTIF(O$2:O326, TRUE)/(COUNTIF(O$2:O326,FALSE) + COUNTIF(O$2:O326, TRUE))</f>
        <v>0.50153846153846149</v>
      </c>
      <c r="Q326" s="176">
        <v>237262.4</v>
      </c>
      <c r="R326" s="176">
        <f t="shared" ref="R326:R331" si="138">I326-Q326</f>
        <v>92846.680000000022</v>
      </c>
      <c r="S326" s="176">
        <v>-28216</v>
      </c>
      <c r="T326" s="176">
        <f t="shared" si="129"/>
        <v>58325.080000000016</v>
      </c>
      <c r="U326" s="188">
        <f>STDEV(D$2:D326)*SQRT(252)</f>
        <v>0.16590384909473915</v>
      </c>
      <c r="V326" s="188">
        <f>STDEV(L$2:L326)*SQRT(252)</f>
        <v>0.36047958608732461</v>
      </c>
      <c r="W326" s="186">
        <f t="shared" si="126"/>
        <v>0.27841687538913068</v>
      </c>
    </row>
    <row r="327" spans="2:23" ht="20.100000000000001" customHeight="1" x14ac:dyDescent="0.25">
      <c r="B327" s="175">
        <v>42732</v>
      </c>
      <c r="C327" s="219">
        <v>2249.92</v>
      </c>
      <c r="D327" s="174">
        <f t="shared" si="137"/>
        <v>-8.3565459610028016E-3</v>
      </c>
      <c r="E327" s="213">
        <f t="shared" si="131"/>
        <v>7.014706721713819E-2</v>
      </c>
      <c r="F327" s="223">
        <v>5438.55</v>
      </c>
      <c r="G327" s="174">
        <f t="shared" si="136"/>
        <v>-8.9094368229993264E-3</v>
      </c>
      <c r="H327" s="207">
        <f t="shared" si="132"/>
        <v>6.8120666967810425E-2</v>
      </c>
      <c r="I327" s="225">
        <v>326202.98</v>
      </c>
      <c r="J327" s="176">
        <v>300000</v>
      </c>
      <c r="K327" s="176">
        <f t="shared" si="133"/>
        <v>-3906.1000000000349</v>
      </c>
      <c r="L327" s="174">
        <f t="shared" si="135"/>
        <v>-1.1832755403153511E-2</v>
      </c>
      <c r="M327" s="186">
        <f t="shared" si="125"/>
        <v>26202.979999999981</v>
      </c>
      <c r="N327" s="188">
        <f t="shared" si="130"/>
        <v>8.73432666666666E-2</v>
      </c>
      <c r="O327" s="186" t="b">
        <f t="shared" si="134"/>
        <v>0</v>
      </c>
      <c r="P327" s="188">
        <f>COUNTIF(O$2:O327, TRUE)/(COUNTIF(O$2:O327,FALSE) + COUNTIF(O$2:O327, TRUE))</f>
        <v>0.5</v>
      </c>
      <c r="Q327" s="176">
        <v>235463.51</v>
      </c>
      <c r="R327" s="176">
        <f t="shared" si="138"/>
        <v>90739.469999999972</v>
      </c>
      <c r="S327" s="176">
        <v>-29179</v>
      </c>
      <c r="T327" s="176">
        <f t="shared" si="129"/>
        <v>55381.979999999981</v>
      </c>
      <c r="U327" s="188">
        <f>STDEV(D$2:D327)*SQRT(252)</f>
        <v>0.16582249339031452</v>
      </c>
      <c r="V327" s="188">
        <f>STDEV(L$2:L327)*SQRT(252)</f>
        <v>0.36009473393131058</v>
      </c>
      <c r="W327" s="186">
        <f t="shared" si="126"/>
        <v>0.24255635652624583</v>
      </c>
    </row>
    <row r="328" spans="2:23" ht="20.100000000000001" customHeight="1" x14ac:dyDescent="0.25">
      <c r="B328" s="175">
        <v>42733</v>
      </c>
      <c r="C328" s="219">
        <v>2249.2600000000002</v>
      </c>
      <c r="D328" s="174">
        <f t="shared" si="137"/>
        <v>-2.9334376333374273E-4</v>
      </c>
      <c r="E328" s="213">
        <f t="shared" si="131"/>
        <v>6.983314624912014E-2</v>
      </c>
      <c r="F328" s="223">
        <v>5432.09</v>
      </c>
      <c r="G328" s="174">
        <f t="shared" si="136"/>
        <v>-1.1878166055290539E-3</v>
      </c>
      <c r="H328" s="207">
        <f t="shared" si="132"/>
        <v>6.6851935502877297E-2</v>
      </c>
      <c r="I328" s="225">
        <v>324645.53000000003</v>
      </c>
      <c r="J328" s="176">
        <v>300000</v>
      </c>
      <c r="K328" s="176">
        <f t="shared" si="133"/>
        <v>-1557.4499999999534</v>
      </c>
      <c r="L328" s="174">
        <f t="shared" si="135"/>
        <v>-4.774481214119974E-3</v>
      </c>
      <c r="M328" s="186">
        <f t="shared" si="125"/>
        <v>24645.530000000028</v>
      </c>
      <c r="N328" s="188">
        <f t="shared" si="130"/>
        <v>8.2151766666666765E-2</v>
      </c>
      <c r="O328" s="186" t="b">
        <f t="shared" si="134"/>
        <v>0</v>
      </c>
      <c r="P328" s="188">
        <f>COUNTIF(O$2:O328, TRUE)/(COUNTIF(O$2:O328,FALSE) + COUNTIF(O$2:O328, TRUE))</f>
        <v>0.49847094801223241</v>
      </c>
      <c r="Q328" s="176">
        <v>245575.8</v>
      </c>
      <c r="R328" s="176">
        <f t="shared" si="138"/>
        <v>79069.73000000004</v>
      </c>
      <c r="S328" s="176">
        <v>-28777</v>
      </c>
      <c r="T328" s="176">
        <f t="shared" si="129"/>
        <v>53422.530000000028</v>
      </c>
      <c r="U328" s="188">
        <f>STDEV(D$2:D328)*SQRT(252)</f>
        <v>0.16556790757023543</v>
      </c>
      <c r="V328" s="188">
        <f>STDEV(L$2:L328)*SQRT(252)</f>
        <v>0.35957326133174794</v>
      </c>
      <c r="W328" s="186">
        <f t="shared" si="126"/>
        <v>0.22847017701594963</v>
      </c>
    </row>
    <row r="329" spans="2:23" ht="20.100000000000001" customHeight="1" x14ac:dyDescent="0.25">
      <c r="B329" s="175">
        <v>42734</v>
      </c>
      <c r="C329" s="219">
        <v>2238.83</v>
      </c>
      <c r="D329" s="174">
        <f t="shared" si="137"/>
        <v>-4.6370806398550145E-3</v>
      </c>
      <c r="E329" s="213">
        <f t="shared" si="131"/>
        <v>6.4872243678773173E-2</v>
      </c>
      <c r="F329" s="223">
        <v>5383.11</v>
      </c>
      <c r="G329" s="174">
        <f t="shared" si="136"/>
        <v>-9.0167872770886472E-3</v>
      </c>
      <c r="H329" s="207">
        <f t="shared" si="132"/>
        <v>5.7232358544297555E-2</v>
      </c>
      <c r="I329" s="485">
        <v>322309.38</v>
      </c>
      <c r="J329" s="176">
        <v>300000</v>
      </c>
      <c r="K329" s="176">
        <f t="shared" si="133"/>
        <v>-2336.1500000000233</v>
      </c>
      <c r="L329" s="174">
        <f t="shared" si="135"/>
        <v>-7.1960023598662305E-3</v>
      </c>
      <c r="M329" s="485">
        <f t="shared" si="125"/>
        <v>22309.380000000005</v>
      </c>
      <c r="N329" s="188">
        <f t="shared" si="130"/>
        <v>7.4364600000000017E-2</v>
      </c>
      <c r="O329" s="186" t="b">
        <f t="shared" si="134"/>
        <v>0</v>
      </c>
      <c r="P329" s="188">
        <f>COUNTIF(O$2:O329, TRUE)/(COUNTIF(O$2:O329,FALSE) + COUNTIF(O$2:O329, TRUE))</f>
        <v>0.49695121951219512</v>
      </c>
      <c r="Q329" s="176">
        <v>244515.65</v>
      </c>
      <c r="R329" s="176">
        <f t="shared" si="138"/>
        <v>77793.73000000001</v>
      </c>
      <c r="S329" s="176">
        <v>-29211</v>
      </c>
      <c r="T329" s="176">
        <f t="shared" si="129"/>
        <v>51520.380000000005</v>
      </c>
      <c r="U329" s="188">
        <f>STDEV(D$2:D329)*SQRT(252)</f>
        <v>0.16536968849667288</v>
      </c>
      <c r="V329" s="188">
        <f>STDEV(L$2:L329)*SQRT(252)</f>
        <v>0.35908901250550984</v>
      </c>
      <c r="W329" s="186">
        <f t="shared" si="126"/>
        <v>0.2070923849246403</v>
      </c>
    </row>
    <row r="330" spans="2:23" ht="20.100000000000001" customHeight="1" x14ac:dyDescent="0.25">
      <c r="B330" s="248">
        <v>42738</v>
      </c>
      <c r="C330" s="249">
        <v>2257.83</v>
      </c>
      <c r="D330" s="174">
        <f t="shared" si="137"/>
        <v>8.4865755774221358E-3</v>
      </c>
      <c r="E330" s="250">
        <f t="shared" si="131"/>
        <v>7.3909362455052169E-2</v>
      </c>
      <c r="F330" s="251">
        <v>5429.08</v>
      </c>
      <c r="G330" s="174">
        <f t="shared" si="136"/>
        <v>8.5396731629114511E-3</v>
      </c>
      <c r="H330" s="252">
        <f t="shared" si="132"/>
        <v>6.6260777343519872E-2</v>
      </c>
      <c r="I330" s="569">
        <v>327489.65000000002</v>
      </c>
      <c r="J330" s="254">
        <v>300000</v>
      </c>
      <c r="K330" s="254">
        <f t="shared" si="133"/>
        <v>5180.2700000000186</v>
      </c>
      <c r="L330" s="174">
        <f t="shared" si="135"/>
        <v>1.6072352594888855E-2</v>
      </c>
      <c r="M330" s="255">
        <f t="shared" si="125"/>
        <v>27489.650000000023</v>
      </c>
      <c r="N330" s="256">
        <f t="shared" si="130"/>
        <v>9.1632166666666751E-2</v>
      </c>
      <c r="O330" s="255" t="b">
        <f t="shared" si="134"/>
        <v>1</v>
      </c>
      <c r="P330" s="256">
        <f>COUNTIF(O$2:O330, TRUE)/(COUNTIF(O$2:O330,FALSE) + COUNTIF(O$2:O330, TRUE))</f>
        <v>0.49848024316109424</v>
      </c>
      <c r="Q330" s="254">
        <v>246849.1</v>
      </c>
      <c r="R330" s="254">
        <f t="shared" si="138"/>
        <v>80640.550000000017</v>
      </c>
      <c r="S330" s="254">
        <v>-28453</v>
      </c>
      <c r="T330" s="254">
        <f t="shared" si="129"/>
        <v>55942.650000000023</v>
      </c>
      <c r="U330" s="256">
        <f>STDEV(D$2:D330)*SQRT(252)</f>
        <v>0.16527453966612005</v>
      </c>
      <c r="V330" s="256">
        <f>STDEV(L$2:L330)*SQRT(252)</f>
        <v>0.35879195158503097</v>
      </c>
      <c r="W330" s="255">
        <f t="shared" si="126"/>
        <v>0.25539080868972786</v>
      </c>
    </row>
    <row r="331" spans="2:23" ht="20.100000000000001" customHeight="1" x14ac:dyDescent="0.25">
      <c r="B331" s="248">
        <v>42739</v>
      </c>
      <c r="C331" s="249">
        <v>2270.75</v>
      </c>
      <c r="D331" s="174">
        <f t="shared" si="137"/>
        <v>5.7223085883348493E-3</v>
      </c>
      <c r="E331" s="250">
        <f t="shared" si="131"/>
        <v>8.0054603222921905E-2</v>
      </c>
      <c r="F331" s="251">
        <v>5477</v>
      </c>
      <c r="G331" s="174">
        <f t="shared" si="136"/>
        <v>8.8265415134792767E-3</v>
      </c>
      <c r="H331" s="252">
        <f t="shared" si="132"/>
        <v>7.5672172358937126E-2</v>
      </c>
      <c r="I331" s="569">
        <v>330177.02</v>
      </c>
      <c r="J331" s="254">
        <v>300000</v>
      </c>
      <c r="K331" s="254">
        <f t="shared" si="133"/>
        <v>2687.3699999999953</v>
      </c>
      <c r="L331" s="174">
        <f t="shared" si="135"/>
        <v>8.2059692573490349E-3</v>
      </c>
      <c r="M331" s="255">
        <f t="shared" si="125"/>
        <v>30177.020000000019</v>
      </c>
      <c r="N331" s="256">
        <f t="shared" si="130"/>
        <v>0.10059006666666673</v>
      </c>
      <c r="O331" s="255" t="b">
        <f t="shared" si="134"/>
        <v>1</v>
      </c>
      <c r="P331" s="256">
        <f>COUNTIF(O$2:O331, TRUE)/(COUNTIF(O$2:O331,FALSE) + COUNTIF(O$2:O331, TRUE))</f>
        <v>0.5</v>
      </c>
      <c r="Q331" s="254">
        <v>236646.05</v>
      </c>
      <c r="R331" s="254">
        <f t="shared" si="138"/>
        <v>93530.97000000003</v>
      </c>
      <c r="S331" s="254">
        <v>-27557</v>
      </c>
      <c r="T331" s="254">
        <f t="shared" si="129"/>
        <v>57734.020000000019</v>
      </c>
      <c r="U331" s="256">
        <f>STDEV(D$2:D331)*SQRT(252)</f>
        <v>0.1650913475554088</v>
      </c>
      <c r="V331" s="256">
        <f>STDEV(L$2:L331)*SQRT(252)</f>
        <v>0.3583037455998867</v>
      </c>
      <c r="W331" s="255">
        <f t="shared" si="126"/>
        <v>0.2807396459064494</v>
      </c>
    </row>
    <row r="332" spans="2:23" ht="20.100000000000001" customHeight="1" x14ac:dyDescent="0.25">
      <c r="B332" s="248">
        <v>42740</v>
      </c>
      <c r="C332" s="338">
        <v>2269</v>
      </c>
      <c r="D332" s="174">
        <f t="shared" si="137"/>
        <v>-7.7067048332048887E-4</v>
      </c>
      <c r="E332" s="250">
        <f t="shared" si="131"/>
        <v>7.9222237019843586E-2</v>
      </c>
      <c r="F332" s="251">
        <v>5487.93</v>
      </c>
      <c r="G332" s="174">
        <f t="shared" si="136"/>
        <v>1.995618039072538E-3</v>
      </c>
      <c r="H332" s="252">
        <f t="shared" si="132"/>
        <v>7.7818803150224977E-2</v>
      </c>
      <c r="I332" s="569">
        <v>330571.57</v>
      </c>
      <c r="J332" s="254">
        <v>300000</v>
      </c>
      <c r="K332" s="254">
        <f t="shared" si="133"/>
        <v>394.54999999998836</v>
      </c>
      <c r="L332" s="174">
        <f t="shared" si="135"/>
        <v>1.1949650523830771E-3</v>
      </c>
      <c r="M332" s="255">
        <f t="shared" si="125"/>
        <v>30571.570000000007</v>
      </c>
      <c r="N332" s="256">
        <f t="shared" si="130"/>
        <v>0.10190523333333336</v>
      </c>
      <c r="O332" s="255" t="b">
        <f t="shared" si="134"/>
        <v>1</v>
      </c>
      <c r="P332" s="256">
        <f>COUNTIF(O$2:O332, TRUE)/(COUNTIF(O$2:O332,FALSE) + COUNTIF(O$2:O332, TRUE))</f>
        <v>0.50151057401812693</v>
      </c>
      <c r="Q332" s="254">
        <v>239220.1</v>
      </c>
      <c r="R332" s="254">
        <f t="shared" ref="R332:R361" si="139">I332-Q332</f>
        <v>91351.47</v>
      </c>
      <c r="S332" s="254">
        <v>-27577</v>
      </c>
      <c r="T332" s="254">
        <f t="shared" si="129"/>
        <v>58148.570000000007</v>
      </c>
      <c r="U332" s="256">
        <f>STDEV(D$2:D332)*SQRT(252)</f>
        <v>0.16484285342326518</v>
      </c>
      <c r="V332" s="256">
        <f>STDEV(L$2:L332)*SQRT(252)</f>
        <v>0.35775897178882049</v>
      </c>
      <c r="W332" s="255">
        <f t="shared" si="126"/>
        <v>0.28484326423401735</v>
      </c>
    </row>
    <row r="333" spans="2:23" ht="20.100000000000001" customHeight="1" x14ac:dyDescent="0.25">
      <c r="B333" s="248">
        <v>42741</v>
      </c>
      <c r="C333" s="338">
        <v>2276.98</v>
      </c>
      <c r="D333" s="174">
        <f t="shared" si="137"/>
        <v>3.516967827236676E-3</v>
      </c>
      <c r="E333" s="250">
        <f t="shared" si="131"/>
        <v>8.3017826905880762E-2</v>
      </c>
      <c r="F333" s="251">
        <v>5521.05</v>
      </c>
      <c r="G333" s="174">
        <f t="shared" si="136"/>
        <v>6.0350624005772466E-3</v>
      </c>
      <c r="H333" s="252">
        <f t="shared" si="132"/>
        <v>8.4323506883752064E-2</v>
      </c>
      <c r="I333" s="569">
        <v>329655.77</v>
      </c>
      <c r="J333" s="254">
        <v>300000</v>
      </c>
      <c r="K333" s="254">
        <f t="shared" si="133"/>
        <v>-915.79999999998836</v>
      </c>
      <c r="L333" s="174">
        <f t="shared" si="135"/>
        <v>-2.7703531794944988E-3</v>
      </c>
      <c r="M333" s="255">
        <f t="shared" si="125"/>
        <v>29655.770000000019</v>
      </c>
      <c r="N333" s="256">
        <f t="shared" si="130"/>
        <v>9.8852566666666725E-2</v>
      </c>
      <c r="O333" s="255" t="b">
        <f t="shared" si="134"/>
        <v>0</v>
      </c>
      <c r="P333" s="256">
        <f>COUNTIF(O$2:O333, TRUE)/(COUNTIF(O$2:O333,FALSE) + COUNTIF(O$2:O333, TRUE))</f>
        <v>0.5</v>
      </c>
      <c r="Q333" s="254">
        <v>244584.65</v>
      </c>
      <c r="R333" s="254">
        <f t="shared" si="139"/>
        <v>85071.120000000024</v>
      </c>
      <c r="S333" s="254">
        <v>-26799</v>
      </c>
      <c r="T333" s="254">
        <f t="shared" si="129"/>
        <v>56454.770000000019</v>
      </c>
      <c r="U333" s="256">
        <f>STDEV(D$2:D333)*SQRT(252)</f>
        <v>0.16461706321052907</v>
      </c>
      <c r="V333" s="256">
        <f>STDEV(L$2:L333)*SQRT(252)</f>
        <v>0.35723001747832872</v>
      </c>
      <c r="W333" s="255">
        <f t="shared" si="126"/>
        <v>0.27671965352873401</v>
      </c>
    </row>
    <row r="334" spans="2:23" ht="20.100000000000001" customHeight="1" x14ac:dyDescent="0.25">
      <c r="B334" s="175">
        <v>42744</v>
      </c>
      <c r="C334" s="219">
        <v>2268.9</v>
      </c>
      <c r="D334" s="174">
        <f t="shared" si="137"/>
        <v>-3.5485599346502506E-3</v>
      </c>
      <c r="E334" s="213">
        <f t="shared" si="131"/>
        <v>7.9174673236810572E-2</v>
      </c>
      <c r="F334" s="223">
        <v>5531.81</v>
      </c>
      <c r="G334" s="174">
        <f t="shared" si="136"/>
        <v>1.9489046467610722E-3</v>
      </c>
      <c r="H334" s="207">
        <f t="shared" si="132"/>
        <v>8.6436750004910065E-2</v>
      </c>
      <c r="I334" s="225">
        <v>326473.82</v>
      </c>
      <c r="J334" s="176">
        <v>300000</v>
      </c>
      <c r="K334" s="176">
        <f t="shared" si="133"/>
        <v>-3181.9500000000116</v>
      </c>
      <c r="L334" s="174">
        <f t="shared" si="135"/>
        <v>-9.652341289218179E-3</v>
      </c>
      <c r="M334" s="186">
        <f t="shared" si="125"/>
        <v>26473.820000000007</v>
      </c>
      <c r="N334" s="188">
        <f t="shared" si="130"/>
        <v>8.8246066666666692E-2</v>
      </c>
      <c r="O334" s="186" t="b">
        <f t="shared" si="134"/>
        <v>0</v>
      </c>
      <c r="P334" s="188">
        <f>COUNTIF(O$2:O334, TRUE)/(COUNTIF(O$2:O334,FALSE) + COUNTIF(O$2:O334, TRUE))</f>
        <v>0.49849849849849848</v>
      </c>
      <c r="Q334" s="176">
        <v>241402.7</v>
      </c>
      <c r="R334" s="176">
        <f t="shared" si="139"/>
        <v>85071.12</v>
      </c>
      <c r="S334" s="176">
        <v>-27249</v>
      </c>
      <c r="T334" s="176">
        <f t="shared" si="129"/>
        <v>53722.820000000007</v>
      </c>
      <c r="U334" s="188">
        <f>STDEV(D$2:D334)*SQRT(252)</f>
        <v>0.1644023055783676</v>
      </c>
      <c r="V334" s="188">
        <f>STDEV(L$2:L334)*SQRT(252)</f>
        <v>0.35680577395997881</v>
      </c>
      <c r="W334" s="186">
        <f t="shared" si="126"/>
        <v>0.24732241770438623</v>
      </c>
    </row>
    <row r="335" spans="2:23" ht="20.100000000000001" customHeight="1" x14ac:dyDescent="0.25">
      <c r="B335" s="175">
        <v>42745</v>
      </c>
      <c r="C335" s="219">
        <v>2268.9</v>
      </c>
      <c r="D335" s="174">
        <f>(C335-C334)/C334</f>
        <v>0</v>
      </c>
      <c r="E335" s="213">
        <f t="shared" si="131"/>
        <v>7.9174673236810572E-2</v>
      </c>
      <c r="F335" s="223">
        <v>5551.81</v>
      </c>
      <c r="G335" s="174">
        <f t="shared" ref="G335:G358" si="140">(F335-F334)/F334</f>
        <v>3.6154531699389529E-3</v>
      </c>
      <c r="H335" s="207">
        <f t="shared" si="132"/>
        <v>9.0364711196653499E-2</v>
      </c>
      <c r="I335" s="225">
        <v>326978.32</v>
      </c>
      <c r="J335" s="176">
        <v>300000</v>
      </c>
      <c r="K335" s="176">
        <f t="shared" si="133"/>
        <v>504.5</v>
      </c>
      <c r="L335" s="174">
        <f t="shared" si="135"/>
        <v>1.545300018237297E-3</v>
      </c>
      <c r="M335" s="186">
        <f t="shared" si="125"/>
        <v>26978.320000000007</v>
      </c>
      <c r="N335" s="188">
        <f t="shared" si="130"/>
        <v>8.9927733333333357E-2</v>
      </c>
      <c r="O335" s="186" t="b">
        <f t="shared" si="134"/>
        <v>1</v>
      </c>
      <c r="P335" s="188">
        <f>COUNTIF(O$2:O335, TRUE)/(COUNTIF(O$2:O335,FALSE) + COUNTIF(O$2:O335, TRUE))</f>
        <v>0.5</v>
      </c>
      <c r="Q335" s="176">
        <v>241907.20000000001</v>
      </c>
      <c r="R335" s="176">
        <f t="shared" si="139"/>
        <v>85071.12</v>
      </c>
      <c r="S335" s="176">
        <v>-27297</v>
      </c>
      <c r="T335" s="176">
        <f t="shared" si="129"/>
        <v>54275.320000000007</v>
      </c>
      <c r="U335" s="188">
        <f>STDEV(D$2:D335)*SQRT(252)</f>
        <v>0.16415470946518282</v>
      </c>
      <c r="V335" s="188">
        <f>STDEV(L$2:L335)*SQRT(252)</f>
        <v>0.35626868426595099</v>
      </c>
      <c r="W335" s="186">
        <f t="shared" si="126"/>
        <v>0.25241548669543801</v>
      </c>
    </row>
    <row r="336" spans="2:23" ht="20.100000000000001" customHeight="1" x14ac:dyDescent="0.25">
      <c r="B336" s="175">
        <v>42746</v>
      </c>
      <c r="C336" s="219">
        <v>2275.3200000000002</v>
      </c>
      <c r="D336" s="174">
        <f>(C336-C335)/C335</f>
        <v>2.8295649874388791E-3</v>
      </c>
      <c r="E336" s="213">
        <f t="shared" si="131"/>
        <v>8.2228268107532254E-2</v>
      </c>
      <c r="F336" s="223">
        <v>5563.64</v>
      </c>
      <c r="G336" s="174">
        <f t="shared" si="140"/>
        <v>2.1308366100424776E-3</v>
      </c>
      <c r="H336" s="207">
        <f t="shared" si="132"/>
        <v>9.2688100241569718E-2</v>
      </c>
      <c r="I336" s="225">
        <v>329085.82</v>
      </c>
      <c r="J336" s="176">
        <v>300000</v>
      </c>
      <c r="K336" s="176">
        <f t="shared" si="133"/>
        <v>2107.5</v>
      </c>
      <c r="L336" s="174">
        <f t="shared" si="135"/>
        <v>6.4453814552597856E-3</v>
      </c>
      <c r="M336" s="186">
        <f t="shared" si="125"/>
        <v>29085.820000000007</v>
      </c>
      <c r="N336" s="188">
        <f t="shared" si="130"/>
        <v>9.695273333333336E-2</v>
      </c>
      <c r="O336" s="186" t="b">
        <f t="shared" si="134"/>
        <v>1</v>
      </c>
      <c r="P336" s="188">
        <f>COUNTIF(O$2:O336, TRUE)/(COUNTIF(O$2:O336,FALSE) + COUNTIF(O$2:O336, TRUE))</f>
        <v>0.5014925373134328</v>
      </c>
      <c r="Q336" s="176">
        <v>251208.6</v>
      </c>
      <c r="R336" s="176">
        <f t="shared" si="139"/>
        <v>77877.22</v>
      </c>
      <c r="S336" s="176">
        <v>-26997</v>
      </c>
      <c r="T336" s="176">
        <f t="shared" si="129"/>
        <v>56082.820000000007</v>
      </c>
      <c r="U336" s="188">
        <f>STDEV(D$2:D336)*SQRT(252)</f>
        <v>0.16392298199837227</v>
      </c>
      <c r="V336" s="188">
        <f>STDEV(L$2:L336)*SQRT(252)</f>
        <v>0.35576772600589157</v>
      </c>
      <c r="W336" s="186">
        <f t="shared" si="126"/>
        <v>0.2725169436300352</v>
      </c>
    </row>
    <row r="337" spans="2:23" ht="20.100000000000001" customHeight="1" x14ac:dyDescent="0.25">
      <c r="B337" s="175">
        <v>42747</v>
      </c>
      <c r="C337" s="219">
        <v>2270.44</v>
      </c>
      <c r="D337" s="174">
        <f>(C337-C336)/C336</f>
        <v>-2.1447532654747942E-3</v>
      </c>
      <c r="E337" s="213">
        <f t="shared" si="131"/>
        <v>7.9907155495519494E-2</v>
      </c>
      <c r="F337" s="223">
        <v>5547.48</v>
      </c>
      <c r="G337" s="174">
        <f t="shared" si="140"/>
        <v>-2.9045732649849313E-3</v>
      </c>
      <c r="H337" s="207">
        <f t="shared" si="132"/>
        <v>8.9514307598640874E-2</v>
      </c>
      <c r="I337" s="225">
        <v>326943.46999999997</v>
      </c>
      <c r="J337" s="176">
        <v>300000</v>
      </c>
      <c r="K337" s="176">
        <f t="shared" si="133"/>
        <v>-2142.3500000000349</v>
      </c>
      <c r="L337" s="174">
        <f t="shared" si="135"/>
        <v>-6.5100039861943453E-3</v>
      </c>
      <c r="M337" s="186">
        <f t="shared" si="125"/>
        <v>26943.469999999972</v>
      </c>
      <c r="N337" s="188">
        <f t="shared" si="130"/>
        <v>8.9811566666666579E-2</v>
      </c>
      <c r="O337" s="186" t="b">
        <f t="shared" si="134"/>
        <v>0</v>
      </c>
      <c r="P337" s="188">
        <f>COUNTIF(O$2:O337, TRUE)/(COUNTIF(O$2:O337,FALSE) + COUNTIF(O$2:O337, TRUE))</f>
        <v>0.5</v>
      </c>
      <c r="Q337" s="176">
        <v>249037.25</v>
      </c>
      <c r="R337" s="176">
        <f t="shared" si="139"/>
        <v>77906.219999999972</v>
      </c>
      <c r="S337" s="176">
        <v>-27073</v>
      </c>
      <c r="T337" s="176">
        <f t="shared" si="129"/>
        <v>54016.469999999972</v>
      </c>
      <c r="U337" s="188">
        <f>STDEV(D$2:D337)*SQRT(252)</f>
        <v>0.1636910220978732</v>
      </c>
      <c r="V337" s="188">
        <f>STDEV(L$2:L337)*SQRT(252)</f>
        <v>0.35529082433819081</v>
      </c>
      <c r="W337" s="186">
        <f t="shared" si="126"/>
        <v>0.2527832426687654</v>
      </c>
    </row>
    <row r="338" spans="2:23" ht="20.100000000000001" customHeight="1" x14ac:dyDescent="0.25">
      <c r="B338" s="175">
        <v>42748</v>
      </c>
      <c r="C338" s="219">
        <v>2274.64</v>
      </c>
      <c r="D338" s="174">
        <f>(C338-C337)/C337</f>
        <v>1.8498617008156208E-3</v>
      </c>
      <c r="E338" s="213">
        <f t="shared" si="131"/>
        <v>8.1904834382907396E-2</v>
      </c>
      <c r="F338" s="223">
        <v>5574.12</v>
      </c>
      <c r="G338" s="174">
        <f t="shared" si="140"/>
        <v>4.8021804495014548E-3</v>
      </c>
      <c r="H338" s="207">
        <f t="shared" si="132"/>
        <v>9.4746351906043191E-2</v>
      </c>
      <c r="I338" s="225">
        <v>327247.34999999998</v>
      </c>
      <c r="J338" s="176">
        <v>300000</v>
      </c>
      <c r="K338" s="176">
        <f t="shared" si="133"/>
        <v>303.88000000000466</v>
      </c>
      <c r="L338" s="174">
        <f t="shared" si="135"/>
        <v>9.2945731566378945E-4</v>
      </c>
      <c r="M338" s="186">
        <f t="shared" si="125"/>
        <v>27247.349999999977</v>
      </c>
      <c r="N338" s="188">
        <f t="shared" si="130"/>
        <v>9.0824499999999919E-2</v>
      </c>
      <c r="O338" s="186" t="b">
        <f t="shared" si="134"/>
        <v>0</v>
      </c>
      <c r="P338" s="188">
        <f>COUNTIF(O$2:O338, TRUE)/(COUNTIF(O$2:O338,FALSE) + COUNTIF(O$2:O338, TRUE))</f>
        <v>0.49851632047477745</v>
      </c>
      <c r="Q338" s="176">
        <v>250832.3</v>
      </c>
      <c r="R338" s="176">
        <f t="shared" si="139"/>
        <v>76415.049999999988</v>
      </c>
      <c r="S338" s="176">
        <v>-26980</v>
      </c>
      <c r="T338" s="176">
        <f t="shared" si="129"/>
        <v>54227.349999999977</v>
      </c>
      <c r="U338" s="188">
        <f>STDEV(D$2:D338)*SQRT(252)</f>
        <v>0.1634521615646928</v>
      </c>
      <c r="V338" s="188">
        <f>STDEV(L$2:L338)*SQRT(252)</f>
        <v>0.35476017854562014</v>
      </c>
      <c r="W338" s="186">
        <f t="shared" si="126"/>
        <v>0.25601661486456945</v>
      </c>
    </row>
    <row r="339" spans="2:23" ht="20.100000000000001" customHeight="1" x14ac:dyDescent="0.25">
      <c r="B339" s="248">
        <v>42752</v>
      </c>
      <c r="C339" s="338">
        <v>2267.89</v>
      </c>
      <c r="D339" s="174">
        <f>(C339-C338)/C338</f>
        <v>-2.9675025498540428E-3</v>
      </c>
      <c r="E339" s="250">
        <f t="shared" si="131"/>
        <v>7.8694279028176703E-2</v>
      </c>
      <c r="F339" s="251">
        <v>5538.72</v>
      </c>
      <c r="G339" s="174">
        <f t="shared" si="140"/>
        <v>-6.3507782394350383E-3</v>
      </c>
      <c r="H339" s="252">
        <f t="shared" si="132"/>
        <v>8.7793860596657392E-2</v>
      </c>
      <c r="I339" s="569">
        <v>326901.49</v>
      </c>
      <c r="J339" s="254">
        <v>300000</v>
      </c>
      <c r="K339" s="254">
        <f t="shared" si="133"/>
        <v>-345.85999999998603</v>
      </c>
      <c r="L339" s="174">
        <f t="shared" si="135"/>
        <v>-1.0568763964016394E-3</v>
      </c>
      <c r="M339" s="255">
        <f t="shared" si="125"/>
        <v>26901.489999999991</v>
      </c>
      <c r="N339" s="256">
        <f t="shared" si="130"/>
        <v>8.9671633333333306E-2</v>
      </c>
      <c r="O339" s="255" t="b">
        <f t="shared" si="134"/>
        <v>1</v>
      </c>
      <c r="P339" s="256">
        <f>COUNTIF(O$2:O339, TRUE)/(COUNTIF(O$2:O339,FALSE) + COUNTIF(O$2:O339, TRUE))</f>
        <v>0.5</v>
      </c>
      <c r="Q339" s="254">
        <v>246815.4</v>
      </c>
      <c r="R339" s="254">
        <f t="shared" si="139"/>
        <v>80086.09</v>
      </c>
      <c r="S339" s="254">
        <v>-26747</v>
      </c>
      <c r="T339" s="254">
        <f t="shared" si="129"/>
        <v>53648.489999999991</v>
      </c>
      <c r="U339" s="256">
        <f>STDEV(D$2:D339)*SQRT(252)</f>
        <v>0.16323301111868488</v>
      </c>
      <c r="V339" s="256">
        <f>STDEV(L$2:L339)*SQRT(252)</f>
        <v>0.35423530326809799</v>
      </c>
      <c r="W339" s="255">
        <f t="shared" si="126"/>
        <v>0.25314143594961397</v>
      </c>
    </row>
    <row r="340" spans="2:23" ht="20.100000000000001" customHeight="1" x14ac:dyDescent="0.25">
      <c r="B340" s="248">
        <v>42753</v>
      </c>
      <c r="C340" s="338">
        <v>2271.89</v>
      </c>
      <c r="D340" s="174">
        <f t="shared" ref="D340:D348" si="141">(C340-C339)/C339</f>
        <v>1.7637539739581726E-3</v>
      </c>
      <c r="E340" s="250">
        <f t="shared" si="131"/>
        <v>8.0596830349498591E-2</v>
      </c>
      <c r="F340" s="251">
        <v>5555.65</v>
      </c>
      <c r="G340" s="174">
        <f t="shared" si="140"/>
        <v>3.0566629112862504E-3</v>
      </c>
      <c r="H340" s="252">
        <f t="shared" si="132"/>
        <v>9.1118879745468076E-2</v>
      </c>
      <c r="I340" s="569">
        <v>326777.7</v>
      </c>
      <c r="J340" s="254">
        <v>300000</v>
      </c>
      <c r="K340" s="254">
        <f t="shared" si="133"/>
        <v>-123.78999999997905</v>
      </c>
      <c r="L340" s="174">
        <f t="shared" si="135"/>
        <v>-3.7867676895562345E-4</v>
      </c>
      <c r="M340" s="255">
        <f t="shared" si="125"/>
        <v>26777.700000000012</v>
      </c>
      <c r="N340" s="256">
        <f t="shared" si="130"/>
        <v>8.9259000000000033E-2</v>
      </c>
      <c r="O340" s="255" t="b">
        <f t="shared" si="134"/>
        <v>0</v>
      </c>
      <c r="P340" s="256">
        <f>COUNTIF(O$2:O340, TRUE)/(COUNTIF(O$2:O340,FALSE) + COUNTIF(O$2:O340, TRUE))</f>
        <v>0.49852507374631266</v>
      </c>
      <c r="Q340" s="254">
        <v>244625.7</v>
      </c>
      <c r="R340" s="254">
        <f t="shared" si="139"/>
        <v>82152</v>
      </c>
      <c r="S340" s="254">
        <v>-26746</v>
      </c>
      <c r="T340" s="254">
        <f t="shared" si="129"/>
        <v>53523.700000000012</v>
      </c>
      <c r="U340" s="256">
        <f>STDEV(D$2:D340)*SQRT(252)</f>
        <v>0.16299569851885642</v>
      </c>
      <c r="V340" s="256">
        <f>STDEV(L$2:L340)*SQRT(252)</f>
        <v>0.35371066425752529</v>
      </c>
      <c r="W340" s="255">
        <f t="shared" si="126"/>
        <v>0.25235032194283358</v>
      </c>
    </row>
    <row r="341" spans="2:23" ht="20.100000000000001" customHeight="1" x14ac:dyDescent="0.25">
      <c r="B341" s="248">
        <v>42754</v>
      </c>
      <c r="C341" s="338">
        <v>2263.69</v>
      </c>
      <c r="D341" s="174">
        <f t="shared" si="141"/>
        <v>-3.6093296770529464E-3</v>
      </c>
      <c r="E341" s="250">
        <f t="shared" si="131"/>
        <v>7.6696600140788801E-2</v>
      </c>
      <c r="F341" s="251">
        <v>5540.08</v>
      </c>
      <c r="G341" s="174">
        <f t="shared" si="140"/>
        <v>-2.8025523566098855E-3</v>
      </c>
      <c r="H341" s="252">
        <f t="shared" si="132"/>
        <v>8.8060961957695888E-2</v>
      </c>
      <c r="I341" s="569">
        <v>324862.34999999998</v>
      </c>
      <c r="J341" s="254">
        <v>300000</v>
      </c>
      <c r="K341" s="254">
        <f t="shared" si="133"/>
        <v>-1915.3500000000349</v>
      </c>
      <c r="L341" s="174">
        <f t="shared" si="135"/>
        <v>-5.8613240744397029E-3</v>
      </c>
      <c r="M341" s="255">
        <f t="shared" si="125"/>
        <v>24862.349999999977</v>
      </c>
      <c r="N341" s="256">
        <f t="shared" si="130"/>
        <v>8.287449999999992E-2</v>
      </c>
      <c r="O341" s="255" t="b">
        <f t="shared" si="134"/>
        <v>0</v>
      </c>
      <c r="P341" s="256">
        <f>COUNTIF(O$2:O341, TRUE)/(COUNTIF(O$2:O341,FALSE) + COUNTIF(O$2:O341, TRUE))</f>
        <v>0.49705882352941178</v>
      </c>
      <c r="Q341" s="254">
        <v>251939.75</v>
      </c>
      <c r="R341" s="254">
        <f t="shared" si="139"/>
        <v>72922.599999999977</v>
      </c>
      <c r="S341" s="254">
        <v>-27278</v>
      </c>
      <c r="T341" s="254">
        <f t="shared" si="129"/>
        <v>52140.349999999977</v>
      </c>
      <c r="U341" s="256">
        <f>STDEV(D$2:D341)*SQRT(252)</f>
        <v>0.16278897536112508</v>
      </c>
      <c r="V341" s="256">
        <f>STDEV(L$2:L341)*SQRT(252)</f>
        <v>0.35323287120524727</v>
      </c>
      <c r="W341" s="255">
        <f t="shared" si="126"/>
        <v>0.23461717964477147</v>
      </c>
    </row>
    <row r="342" spans="2:23" ht="20.100000000000001" customHeight="1" x14ac:dyDescent="0.25">
      <c r="B342" s="248">
        <v>42755</v>
      </c>
      <c r="C342" s="338">
        <v>2271.31</v>
      </c>
      <c r="D342" s="174">
        <f t="shared" si="141"/>
        <v>3.3661852992237853E-3</v>
      </c>
      <c r="E342" s="250">
        <f t="shared" si="131"/>
        <v>8.0320960407906955E-2</v>
      </c>
      <c r="F342" s="251">
        <v>5555.33</v>
      </c>
      <c r="G342" s="174">
        <f t="shared" si="140"/>
        <v>2.7526678315114585E-3</v>
      </c>
      <c r="H342" s="252">
        <f t="shared" si="132"/>
        <v>9.1056032366400239E-2</v>
      </c>
      <c r="I342" s="569">
        <v>326822.08</v>
      </c>
      <c r="J342" s="254">
        <v>300000</v>
      </c>
      <c r="K342" s="254">
        <f t="shared" si="133"/>
        <v>1959.7300000000396</v>
      </c>
      <c r="L342" s="174">
        <f t="shared" si="135"/>
        <v>6.0324934545355584E-3</v>
      </c>
      <c r="M342" s="255">
        <f t="shared" si="125"/>
        <v>26822.080000000016</v>
      </c>
      <c r="N342" s="256">
        <f t="shared" si="130"/>
        <v>8.9406933333333383E-2</v>
      </c>
      <c r="O342" s="255" t="b">
        <f t="shared" si="134"/>
        <v>1</v>
      </c>
      <c r="P342" s="256">
        <f>COUNTIF(O$2:O342, TRUE)/(COUNTIF(O$2:O342,FALSE) + COUNTIF(O$2:O342, TRUE))</f>
        <v>0.49853372434017595</v>
      </c>
      <c r="Q342" s="254">
        <v>263368.55</v>
      </c>
      <c r="R342" s="254">
        <f t="shared" si="139"/>
        <v>63453.530000000028</v>
      </c>
      <c r="S342" s="254">
        <v>-27778</v>
      </c>
      <c r="T342" s="254">
        <f t="shared" si="129"/>
        <v>54600.080000000016</v>
      </c>
      <c r="U342" s="256">
        <f>STDEV(D$2:D342)*SQRT(252)</f>
        <v>0.16257054597852011</v>
      </c>
      <c r="V342" s="256">
        <f>STDEV(L$2:L342)*SQRT(252)</f>
        <v>0.35274115689547414</v>
      </c>
      <c r="W342" s="255">
        <f t="shared" si="126"/>
        <v>0.25346328769859666</v>
      </c>
    </row>
    <row r="343" spans="2:23" ht="20.100000000000001" customHeight="1" x14ac:dyDescent="0.25">
      <c r="B343" s="175">
        <v>42758</v>
      </c>
      <c r="C343" s="219">
        <v>2265.1999999999998</v>
      </c>
      <c r="D343" s="174">
        <f t="shared" si="141"/>
        <v>-2.6900775323492289E-3</v>
      </c>
      <c r="E343" s="213">
        <f t="shared" si="131"/>
        <v>7.7414813264587698E-2</v>
      </c>
      <c r="F343" s="223">
        <v>5552.94</v>
      </c>
      <c r="G343" s="174">
        <f t="shared" si="140"/>
        <v>-4.3021746682921221E-4</v>
      </c>
      <c r="H343" s="207">
        <f t="shared" si="132"/>
        <v>9.0586641003986834E-2</v>
      </c>
      <c r="I343" s="225">
        <v>324687.64</v>
      </c>
      <c r="J343" s="176">
        <v>300000</v>
      </c>
      <c r="K343" s="176">
        <f t="shared" si="133"/>
        <v>-2134.4400000000023</v>
      </c>
      <c r="L343" s="174">
        <f t="shared" si="135"/>
        <v>-6.530892894384621E-3</v>
      </c>
      <c r="M343" s="186">
        <f t="shared" si="125"/>
        <v>24687.640000000014</v>
      </c>
      <c r="N343" s="188">
        <f t="shared" si="130"/>
        <v>8.2292133333333378E-2</v>
      </c>
      <c r="O343" s="186" t="b">
        <f t="shared" si="134"/>
        <v>0</v>
      </c>
      <c r="P343" s="188">
        <f>COUNTIF(O$2:O343, TRUE)/(COUNTIF(O$2:O343,FALSE) + COUNTIF(O$2:O343, TRUE))</f>
        <v>0.49707602339181284</v>
      </c>
      <c r="Q343" s="176">
        <v>262468.09999999998</v>
      </c>
      <c r="R343" s="176">
        <f t="shared" si="139"/>
        <v>62219.540000000037</v>
      </c>
      <c r="S343" s="176">
        <v>-28619</v>
      </c>
      <c r="T343" s="176">
        <f t="shared" si="129"/>
        <v>53306.640000000014</v>
      </c>
      <c r="U343" s="188">
        <f>STDEV(D$2:D343)*SQRT(252)</f>
        <v>0.16235136583576509</v>
      </c>
      <c r="V343" s="188">
        <f>STDEV(L$2:L343)*SQRT(252)</f>
        <v>0.3522774110686045</v>
      </c>
      <c r="W343" s="186">
        <f t="shared" si="126"/>
        <v>0.23360036933309739</v>
      </c>
    </row>
    <row r="344" spans="2:23" ht="20.100000000000001" customHeight="1" x14ac:dyDescent="0.25">
      <c r="B344" s="175">
        <v>42759</v>
      </c>
      <c r="C344" s="219">
        <v>2280.0700000000002</v>
      </c>
      <c r="D344" s="174">
        <f t="shared" si="141"/>
        <v>6.5645417623169467E-3</v>
      </c>
      <c r="E344" s="213">
        <f t="shared" si="131"/>
        <v>8.4487547801602003E-2</v>
      </c>
      <c r="F344" s="223">
        <v>5600.95</v>
      </c>
      <c r="G344" s="174">
        <f t="shared" si="140"/>
        <v>8.6458704758200552E-3</v>
      </c>
      <c r="H344" s="207">
        <f t="shared" si="132"/>
        <v>0.10001571184476697</v>
      </c>
      <c r="I344" s="225">
        <v>328611.7</v>
      </c>
      <c r="J344" s="176">
        <v>300000</v>
      </c>
      <c r="K344" s="176">
        <f t="shared" si="133"/>
        <v>3924.0599999999977</v>
      </c>
      <c r="L344" s="174">
        <f t="shared" si="135"/>
        <v>1.208564637693014E-2</v>
      </c>
      <c r="M344" s="186">
        <f t="shared" ref="M344:M361" si="142">I344-J344</f>
        <v>28611.700000000012</v>
      </c>
      <c r="N344" s="188">
        <f t="shared" si="130"/>
        <v>9.5372333333333378E-2</v>
      </c>
      <c r="O344" s="186" t="b">
        <f t="shared" si="134"/>
        <v>1</v>
      </c>
      <c r="P344" s="188">
        <f>COUNTIF(O$2:O344, TRUE)/(COUNTIF(O$2:O344,FALSE) + COUNTIF(O$2:O344, TRUE))</f>
        <v>0.49854227405247814</v>
      </c>
      <c r="Q344" s="176">
        <v>264117.25</v>
      </c>
      <c r="R344" s="176">
        <f t="shared" si="139"/>
        <v>64494.450000000012</v>
      </c>
      <c r="S344" s="176">
        <v>-28448</v>
      </c>
      <c r="T344" s="176">
        <f t="shared" si="129"/>
        <v>57059.700000000012</v>
      </c>
      <c r="U344" s="188">
        <f>STDEV(D$2:D344)*SQRT(252)</f>
        <v>0.16220313783315865</v>
      </c>
      <c r="V344" s="188">
        <f>STDEV(L$2:L344)*SQRT(252)</f>
        <v>0.35189592517189633</v>
      </c>
      <c r="W344" s="186">
        <f t="shared" si="126"/>
        <v>0.27102426175223626</v>
      </c>
    </row>
    <row r="345" spans="2:23" ht="20.100000000000001" customHeight="1" x14ac:dyDescent="0.25">
      <c r="B345" s="175">
        <v>42760</v>
      </c>
      <c r="C345" s="219">
        <v>2298.37</v>
      </c>
      <c r="D345" s="174">
        <f t="shared" si="141"/>
        <v>8.0260693750629254E-3</v>
      </c>
      <c r="E345" s="213">
        <f t="shared" si="131"/>
        <v>9.3191720096649527E-2</v>
      </c>
      <c r="F345" s="223">
        <v>5656.33</v>
      </c>
      <c r="G345" s="174">
        <f t="shared" si="140"/>
        <v>9.887608352154565E-3</v>
      </c>
      <c r="H345" s="207">
        <f t="shared" si="132"/>
        <v>0.11089223638470455</v>
      </c>
      <c r="I345" s="225">
        <v>331080.08</v>
      </c>
      <c r="J345" s="176">
        <v>300000</v>
      </c>
      <c r="K345" s="176">
        <f t="shared" si="133"/>
        <v>2468.3800000000047</v>
      </c>
      <c r="L345" s="174">
        <f t="shared" si="135"/>
        <v>7.511540216005713E-3</v>
      </c>
      <c r="M345" s="186">
        <f t="shared" si="142"/>
        <v>31080.080000000016</v>
      </c>
      <c r="N345" s="188">
        <f t="shared" si="130"/>
        <v>0.10360026666666672</v>
      </c>
      <c r="O345" s="186" t="b">
        <f t="shared" si="134"/>
        <v>0</v>
      </c>
      <c r="P345" s="188">
        <f>COUNTIF(O$2:O345, TRUE)/(COUNTIF(O$2:O345,FALSE) + COUNTIF(O$2:O345, TRUE))</f>
        <v>0.49709302325581395</v>
      </c>
      <c r="Q345" s="176">
        <v>259620.35</v>
      </c>
      <c r="R345" s="176">
        <f t="shared" si="139"/>
        <v>71459.73000000001</v>
      </c>
      <c r="S345" s="176">
        <v>-28211</v>
      </c>
      <c r="T345" s="176">
        <f t="shared" si="129"/>
        <v>59291.080000000016</v>
      </c>
      <c r="U345" s="188">
        <f>STDEV(D$2:D345)*SQRT(252)</f>
        <v>0.16210153500122582</v>
      </c>
      <c r="V345" s="188">
        <f>STDEV(L$2:L345)*SQRT(252)</f>
        <v>0.35142892173835949</v>
      </c>
      <c r="W345" s="186">
        <f t="shared" ref="W345:W361" si="143">N345/V345</f>
        <v>0.29479721291635075</v>
      </c>
    </row>
    <row r="346" spans="2:23" ht="20.100000000000001" customHeight="1" x14ac:dyDescent="0.25">
      <c r="B346" s="175">
        <v>42761</v>
      </c>
      <c r="C346" s="219">
        <v>2296.6799999999998</v>
      </c>
      <c r="D346" s="174">
        <f t="shared" si="141"/>
        <v>-7.3530371524169506E-4</v>
      </c>
      <c r="E346" s="213">
        <f t="shared" si="131"/>
        <v>9.2387892163390994E-2</v>
      </c>
      <c r="F346" s="223">
        <v>5655.17</v>
      </c>
      <c r="G346" s="174">
        <f t="shared" si="140"/>
        <v>-2.0507997234953663E-4</v>
      </c>
      <c r="H346" s="207">
        <f t="shared" si="132"/>
        <v>0.11066441463558345</v>
      </c>
      <c r="I346" s="225">
        <v>330371.86</v>
      </c>
      <c r="J346" s="176">
        <v>300000</v>
      </c>
      <c r="K346" s="176">
        <f t="shared" si="133"/>
        <v>-708.22000000003027</v>
      </c>
      <c r="L346" s="174">
        <f t="shared" si="135"/>
        <v>-2.1391199373880488E-3</v>
      </c>
      <c r="M346" s="186">
        <f t="shared" si="142"/>
        <v>30371.859999999986</v>
      </c>
      <c r="N346" s="188">
        <f t="shared" si="130"/>
        <v>0.10123953333333328</v>
      </c>
      <c r="O346" s="186" t="b">
        <f t="shared" si="134"/>
        <v>0</v>
      </c>
      <c r="P346" s="188">
        <f>COUNTIF(O$2:O346, TRUE)/(COUNTIF(O$2:O346,FALSE) + COUNTIF(O$2:O346, TRUE))</f>
        <v>0.4956521739130435</v>
      </c>
      <c r="Q346" s="176">
        <v>261550.96</v>
      </c>
      <c r="R346" s="176">
        <f t="shared" si="139"/>
        <v>68820.899999999994</v>
      </c>
      <c r="S346" s="176">
        <v>-28489</v>
      </c>
      <c r="T346" s="176">
        <f t="shared" si="129"/>
        <v>58860.859999999986</v>
      </c>
      <c r="U346" s="188">
        <f>STDEV(D$2:D346)*SQRT(252)</f>
        <v>0.16186754333702152</v>
      </c>
      <c r="V346" s="188">
        <f>STDEV(L$2:L346)*SQRT(252)</f>
        <v>0.35092507165589804</v>
      </c>
      <c r="W346" s="186">
        <f t="shared" si="143"/>
        <v>0.28849330387144412</v>
      </c>
    </row>
    <row r="347" spans="2:23" ht="20.100000000000001" customHeight="1" x14ac:dyDescent="0.25">
      <c r="B347" s="175">
        <v>42762</v>
      </c>
      <c r="C347" s="219">
        <v>2294.69</v>
      </c>
      <c r="D347" s="174">
        <f t="shared" si="141"/>
        <v>-8.6646811919805194E-4</v>
      </c>
      <c r="E347" s="213">
        <f t="shared" si="131"/>
        <v>9.1441372881033461E-2</v>
      </c>
      <c r="F347" s="223">
        <v>5660.78</v>
      </c>
      <c r="G347" s="174">
        <f t="shared" si="140"/>
        <v>9.9201261854191345E-4</v>
      </c>
      <c r="H347" s="207">
        <f t="shared" si="132"/>
        <v>0.11176620774986742</v>
      </c>
      <c r="I347" s="225">
        <v>328778.71999999997</v>
      </c>
      <c r="J347" s="176">
        <v>300000</v>
      </c>
      <c r="K347" s="176">
        <f t="shared" si="133"/>
        <v>-1593.140000000014</v>
      </c>
      <c r="L347" s="174">
        <f t="shared" si="135"/>
        <v>-4.822263009930731E-3</v>
      </c>
      <c r="M347" s="186">
        <f t="shared" si="142"/>
        <v>28778.719999999972</v>
      </c>
      <c r="N347" s="188">
        <f t="shared" si="130"/>
        <v>9.5929066666666576E-2</v>
      </c>
      <c r="O347" s="186" t="b">
        <f t="shared" si="134"/>
        <v>0</v>
      </c>
      <c r="P347" s="188">
        <f>COUNTIF(O$2:O347, TRUE)/(COUNTIF(O$2:O347,FALSE) + COUNTIF(O$2:O347, TRUE))</f>
        <v>0.49421965317919075</v>
      </c>
      <c r="Q347" s="176">
        <v>258478.8</v>
      </c>
      <c r="R347" s="176">
        <f t="shared" si="139"/>
        <v>70299.919999999984</v>
      </c>
      <c r="S347" s="176">
        <v>-28586</v>
      </c>
      <c r="T347" s="176">
        <f t="shared" si="129"/>
        <v>57364.719999999972</v>
      </c>
      <c r="U347" s="188">
        <f>STDEV(D$2:D347)*SQRT(252)</f>
        <v>0.16163521958957874</v>
      </c>
      <c r="V347" s="188">
        <f>STDEV(L$2:L347)*SQRT(252)</f>
        <v>0.35044708647568024</v>
      </c>
      <c r="W347" s="186">
        <f t="shared" si="143"/>
        <v>0.27373338335150837</v>
      </c>
    </row>
    <row r="348" spans="2:23" ht="20.100000000000001" customHeight="1" x14ac:dyDescent="0.25">
      <c r="B348" s="248">
        <v>42765</v>
      </c>
      <c r="C348" s="338">
        <v>2280.9</v>
      </c>
      <c r="D348" s="174">
        <f t="shared" si="141"/>
        <v>-6.0095263412486928E-3</v>
      </c>
      <c r="E348" s="250">
        <f t="shared" si="131"/>
        <v>8.488232720077625E-2</v>
      </c>
      <c r="F348" s="251">
        <v>5613.71</v>
      </c>
      <c r="G348" s="174">
        <f t="shared" si="140"/>
        <v>-8.3151085186139919E-3</v>
      </c>
      <c r="H348" s="252">
        <f t="shared" si="132"/>
        <v>0.10252175108509932</v>
      </c>
      <c r="I348" s="569">
        <v>323091.52</v>
      </c>
      <c r="J348" s="254">
        <v>300000</v>
      </c>
      <c r="K348" s="254">
        <f t="shared" si="133"/>
        <v>-5687.1999999999534</v>
      </c>
      <c r="L348" s="174">
        <f t="shared" si="135"/>
        <v>-1.7297956510080561E-2</v>
      </c>
      <c r="M348" s="255">
        <f t="shared" si="142"/>
        <v>23091.520000000019</v>
      </c>
      <c r="N348" s="256">
        <f t="shared" si="130"/>
        <v>7.6971733333333389E-2</v>
      </c>
      <c r="O348" s="255" t="b">
        <f t="shared" si="134"/>
        <v>0</v>
      </c>
      <c r="P348" s="256">
        <f>COUNTIF(O$2:O348, TRUE)/(COUNTIF(O$2:O348,FALSE) + COUNTIF(O$2:O348, TRUE))</f>
        <v>0.49279538904899134</v>
      </c>
      <c r="Q348" s="254">
        <v>273132.59999999998</v>
      </c>
      <c r="R348" s="254">
        <f t="shared" si="139"/>
        <v>49958.920000000042</v>
      </c>
      <c r="S348" s="254">
        <v>-28819</v>
      </c>
      <c r="T348" s="254">
        <f t="shared" si="129"/>
        <v>51910.520000000019</v>
      </c>
      <c r="U348" s="256">
        <f>STDEV(D$2:D348)*SQRT(252)</f>
        <v>0.16149074119515683</v>
      </c>
      <c r="V348" s="256">
        <f>STDEV(L$2:L348)*SQRT(252)</f>
        <v>0.35027731512032595</v>
      </c>
      <c r="W348" s="255">
        <f t="shared" si="143"/>
        <v>0.21974512767660204</v>
      </c>
    </row>
    <row r="349" spans="2:23" ht="20.100000000000001" customHeight="1" x14ac:dyDescent="0.25">
      <c r="B349" s="248">
        <v>42766</v>
      </c>
      <c r="C349" s="338">
        <v>2278.87</v>
      </c>
      <c r="D349" s="174">
        <f t="shared" ref="D349:D363" si="144">(C349-C348)/C348</f>
        <v>-8.8999956157665837E-4</v>
      </c>
      <c r="E349" s="250">
        <f t="shared" si="131"/>
        <v>8.3916782405205295E-2</v>
      </c>
      <c r="F349" s="251">
        <v>5614.78</v>
      </c>
      <c r="G349" s="174">
        <f t="shared" si="140"/>
        <v>1.9060478720840743E-4</v>
      </c>
      <c r="H349" s="252">
        <f t="shared" si="132"/>
        <v>0.10273189700885754</v>
      </c>
      <c r="I349" s="615">
        <v>326440.17</v>
      </c>
      <c r="J349" s="254">
        <v>300000</v>
      </c>
      <c r="K349" s="254">
        <f t="shared" si="133"/>
        <v>3348.6499999999651</v>
      </c>
      <c r="L349" s="174">
        <f t="shared" si="135"/>
        <v>1.0364400774121107E-2</v>
      </c>
      <c r="M349" s="484">
        <f t="shared" si="142"/>
        <v>26440.169999999984</v>
      </c>
      <c r="N349" s="256">
        <f t="shared" si="130"/>
        <v>8.8133899999999946E-2</v>
      </c>
      <c r="O349" s="255" t="b">
        <f t="shared" si="134"/>
        <v>1</v>
      </c>
      <c r="P349" s="256">
        <f>COUNTIF(O$2:O349, TRUE)/(COUNTIF(O$2:O349,FALSE) + COUNTIF(O$2:O349, TRUE))</f>
        <v>0.4942528735632184</v>
      </c>
      <c r="Q349" s="254">
        <v>269996.05</v>
      </c>
      <c r="R349" s="254">
        <f t="shared" si="139"/>
        <v>56444.119999999995</v>
      </c>
      <c r="S349" s="254">
        <v>-28046</v>
      </c>
      <c r="T349" s="254">
        <f t="shared" ref="T349:T361" si="145">M349-S349</f>
        <v>54486.169999999984</v>
      </c>
      <c r="U349" s="256">
        <f>STDEV(D$2:D349)*SQRT(252)</f>
        <v>0.16126032344317026</v>
      </c>
      <c r="V349" s="256">
        <f>STDEV(L$2:L349)*SQRT(252)</f>
        <v>0.34986792755966306</v>
      </c>
      <c r="W349" s="255">
        <f t="shared" si="143"/>
        <v>0.25190619961862737</v>
      </c>
    </row>
    <row r="350" spans="2:23" ht="20.100000000000001" customHeight="1" x14ac:dyDescent="0.25">
      <c r="B350" s="248">
        <v>42767</v>
      </c>
      <c r="C350" s="338">
        <v>2279.5500000000002</v>
      </c>
      <c r="D350" s="174">
        <f t="shared" si="144"/>
        <v>2.9839350204280678E-4</v>
      </c>
      <c r="E350" s="250">
        <f t="shared" si="131"/>
        <v>8.4240216129830167E-2</v>
      </c>
      <c r="F350" s="251">
        <v>5642.65</v>
      </c>
      <c r="G350" s="174">
        <f t="shared" si="140"/>
        <v>4.9636851310291569E-3</v>
      </c>
      <c r="H350" s="252">
        <f t="shared" si="132"/>
        <v>0.10820551092955198</v>
      </c>
      <c r="I350" s="569">
        <v>325798.71999999997</v>
      </c>
      <c r="J350" s="254">
        <v>300000</v>
      </c>
      <c r="K350" s="254">
        <f t="shared" si="133"/>
        <v>-641.45000000001164</v>
      </c>
      <c r="L350" s="174">
        <f t="shared" si="135"/>
        <v>-1.9649848852854464E-3</v>
      </c>
      <c r="M350" s="618">
        <f t="shared" si="142"/>
        <v>25798.719999999972</v>
      </c>
      <c r="N350" s="256">
        <f t="shared" ref="N350:N361" si="146">M350/J350</f>
        <v>8.5995733333333241E-2</v>
      </c>
      <c r="O350" s="255" t="b">
        <f t="shared" si="134"/>
        <v>0</v>
      </c>
      <c r="P350" s="256">
        <f>COUNTIF(O$2:O350, TRUE)/(COUNTIF(O$2:O350,FALSE) + COUNTIF(O$2:O350, TRUE))</f>
        <v>0.49283667621776506</v>
      </c>
      <c r="Q350" s="254">
        <v>267944.34999999998</v>
      </c>
      <c r="R350" s="254">
        <f t="shared" si="139"/>
        <v>57854.369999999995</v>
      </c>
      <c r="S350" s="254">
        <v>-28725</v>
      </c>
      <c r="T350" s="254">
        <f t="shared" si="145"/>
        <v>54523.719999999972</v>
      </c>
      <c r="U350" s="256">
        <f>STDEV(D$2:D350)*SQRT(252)</f>
        <v>0.1610277927077004</v>
      </c>
      <c r="V350" s="256">
        <f>STDEV(L$2:L350)*SQRT(252)</f>
        <v>0.34937088827322704</v>
      </c>
      <c r="W350" s="255">
        <f t="shared" si="143"/>
        <v>0.24614453069735992</v>
      </c>
    </row>
    <row r="351" spans="2:23" ht="20.100000000000001" customHeight="1" x14ac:dyDescent="0.25">
      <c r="B351" s="248">
        <v>42768</v>
      </c>
      <c r="C351" s="338">
        <v>2280.85</v>
      </c>
      <c r="D351" s="174">
        <f t="shared" si="144"/>
        <v>5.7028799543757628E-4</v>
      </c>
      <c r="E351" s="250">
        <f t="shared" si="131"/>
        <v>8.4858545309259639E-2</v>
      </c>
      <c r="F351" s="251">
        <v>5636.19</v>
      </c>
      <c r="G351" s="174">
        <f t="shared" si="140"/>
        <v>-1.1448521528005524E-3</v>
      </c>
      <c r="H351" s="252">
        <f t="shared" si="132"/>
        <v>0.10693677946461885</v>
      </c>
      <c r="I351" s="569">
        <v>326587.24</v>
      </c>
      <c r="J351" s="254">
        <v>300000</v>
      </c>
      <c r="K351" s="254">
        <f t="shared" si="133"/>
        <v>788.52000000001863</v>
      </c>
      <c r="L351" s="174">
        <f t="shared" si="135"/>
        <v>2.4202673356114434E-3</v>
      </c>
      <c r="M351" s="618">
        <f t="shared" si="142"/>
        <v>26587.239999999991</v>
      </c>
      <c r="N351" s="256">
        <f t="shared" si="146"/>
        <v>8.8624133333333299E-2</v>
      </c>
      <c r="O351" s="255" t="b">
        <f t="shared" si="134"/>
        <v>1</v>
      </c>
      <c r="P351" s="256">
        <f>COUNTIF(O$2:O351, TRUE)/(COUNTIF(O$2:O351,FALSE) + COUNTIF(O$2:O351, TRUE))</f>
        <v>0.49428571428571427</v>
      </c>
      <c r="Q351" s="254">
        <v>272398.15000000002</v>
      </c>
      <c r="R351" s="254">
        <f t="shared" si="139"/>
        <v>54189.089999999967</v>
      </c>
      <c r="S351" s="254">
        <v>-29233</v>
      </c>
      <c r="T351" s="254">
        <f t="shared" si="145"/>
        <v>55820.239999999991</v>
      </c>
      <c r="U351" s="256">
        <f>STDEV(D$2:D351)*SQRT(252)</f>
        <v>0.16079644900185747</v>
      </c>
      <c r="V351" s="256">
        <f>STDEV(L$2:L351)*SQRT(252)</f>
        <v>0.34887158546682562</v>
      </c>
      <c r="W351" s="255">
        <f t="shared" si="143"/>
        <v>0.25403081542093836</v>
      </c>
    </row>
    <row r="352" spans="2:23" ht="20.100000000000001" customHeight="1" x14ac:dyDescent="0.25">
      <c r="B352" s="248">
        <v>42769</v>
      </c>
      <c r="C352" s="338">
        <v>2297.42</v>
      </c>
      <c r="D352" s="174">
        <f t="shared" si="144"/>
        <v>7.2648354780016945E-3</v>
      </c>
      <c r="E352" s="250">
        <f t="shared" ref="E352:E361" si="147">(C352-$C$2)/$C$2</f>
        <v>9.2739864157835666E-2</v>
      </c>
      <c r="F352" s="251">
        <v>5666.76</v>
      </c>
      <c r="G352" s="174">
        <f t="shared" si="140"/>
        <v>5.4238767678166672E-3</v>
      </c>
      <c r="H352" s="252">
        <f t="shared" ref="H352:H361" si="148">(F352-F$2)/F$2</f>
        <v>0.1129406681461988</v>
      </c>
      <c r="I352" s="569">
        <v>330217.57</v>
      </c>
      <c r="J352" s="254">
        <v>300000</v>
      </c>
      <c r="K352" s="254">
        <f t="shared" ref="K352:K361" si="149">I352-I351-J352+J351</f>
        <v>3630.3300000000163</v>
      </c>
      <c r="L352" s="174">
        <f t="shared" si="135"/>
        <v>1.1115957867796723E-2</v>
      </c>
      <c r="M352" s="618">
        <f t="shared" si="142"/>
        <v>30217.570000000007</v>
      </c>
      <c r="N352" s="256">
        <f t="shared" si="146"/>
        <v>0.10072523333333336</v>
      </c>
      <c r="O352" s="255" t="b">
        <f t="shared" ref="O352:O361" si="150">L352&gt;D352</f>
        <v>1</v>
      </c>
      <c r="P352" s="256">
        <f>COUNTIF(O$2:O352, TRUE)/(COUNTIF(O$2:O352,FALSE) + COUNTIF(O$2:O352, TRUE))</f>
        <v>0.49572649572649574</v>
      </c>
      <c r="Q352" s="254">
        <v>260496.3</v>
      </c>
      <c r="R352" s="254">
        <f t="shared" si="139"/>
        <v>69721.270000000019</v>
      </c>
      <c r="S352" s="254">
        <v>-28712</v>
      </c>
      <c r="T352" s="254">
        <f t="shared" si="145"/>
        <v>58929.570000000007</v>
      </c>
      <c r="U352" s="256">
        <f>STDEV(D$2:D352)*SQRT(252)</f>
        <v>0.16067512606366424</v>
      </c>
      <c r="V352" s="256">
        <f>STDEV(L$2:L352)*SQRT(252)</f>
        <v>0.34848319217701207</v>
      </c>
      <c r="W352" s="255">
        <f t="shared" si="143"/>
        <v>0.28903899985560844</v>
      </c>
    </row>
    <row r="353" spans="2:23" ht="20.100000000000001" customHeight="1" x14ac:dyDescent="0.25">
      <c r="B353" s="175">
        <v>42772</v>
      </c>
      <c r="C353" s="219">
        <v>2292.56</v>
      </c>
      <c r="D353" s="174">
        <f t="shared" si="144"/>
        <v>-2.115416423640487E-3</v>
      </c>
      <c r="E353" s="213">
        <f t="shared" si="147"/>
        <v>9.0428264302429506E-2</v>
      </c>
      <c r="F353" s="223">
        <v>5663.55</v>
      </c>
      <c r="G353" s="174">
        <f t="shared" si="140"/>
        <v>-5.6646125828516407E-4</v>
      </c>
      <c r="H353" s="207">
        <f t="shared" si="148"/>
        <v>0.11231023037492398</v>
      </c>
      <c r="I353" s="225">
        <v>324431.87</v>
      </c>
      <c r="J353" s="176">
        <v>300000</v>
      </c>
      <c r="K353" s="176">
        <f t="shared" si="149"/>
        <v>-5785.7000000000116</v>
      </c>
      <c r="L353" s="174">
        <f t="shared" si="135"/>
        <v>-1.7520872677974135E-2</v>
      </c>
      <c r="M353" s="186">
        <f t="shared" si="142"/>
        <v>24431.869999999995</v>
      </c>
      <c r="N353" s="188">
        <f t="shared" si="146"/>
        <v>8.1439566666666657E-2</v>
      </c>
      <c r="O353" s="186" t="b">
        <f t="shared" si="150"/>
        <v>0</v>
      </c>
      <c r="P353" s="188">
        <f>COUNTIF(O$2:O353, TRUE)/(COUNTIF(O$2:O353,FALSE) + COUNTIF(O$2:O353, TRUE))</f>
        <v>0.49431818181818182</v>
      </c>
      <c r="Q353" s="176">
        <v>275813.84999999998</v>
      </c>
      <c r="R353" s="176">
        <f t="shared" si="139"/>
        <v>48618.020000000019</v>
      </c>
      <c r="S353" s="176">
        <v>-29700</v>
      </c>
      <c r="T353" s="176">
        <f t="shared" si="145"/>
        <v>54131.869999999995</v>
      </c>
      <c r="U353" s="188">
        <f>STDEV(D$2:D353)*SQRT(252)</f>
        <v>0.16045852618505879</v>
      </c>
      <c r="V353" s="188">
        <f>STDEV(L$2:L353)*SQRT(252)</f>
        <v>0.34832898633424447</v>
      </c>
      <c r="W353" s="186">
        <f t="shared" si="143"/>
        <v>0.23380071674115591</v>
      </c>
    </row>
    <row r="354" spans="2:23" ht="20.100000000000001" customHeight="1" x14ac:dyDescent="0.25">
      <c r="B354" s="175">
        <v>42773</v>
      </c>
      <c r="C354" s="219">
        <v>2293.08</v>
      </c>
      <c r="D354" s="174">
        <f t="shared" si="144"/>
        <v>2.2682067208709122E-4</v>
      </c>
      <c r="E354" s="213">
        <f t="shared" si="147"/>
        <v>9.0675595974201342E-2</v>
      </c>
      <c r="F354" s="223">
        <v>5674.21</v>
      </c>
      <c r="G354" s="174">
        <f t="shared" si="140"/>
        <v>1.8822116870160683E-3</v>
      </c>
      <c r="H354" s="207">
        <f t="shared" si="148"/>
        <v>0.11440383369012319</v>
      </c>
      <c r="I354" s="225">
        <v>321983.64</v>
      </c>
      <c r="J354" s="176">
        <v>300000</v>
      </c>
      <c r="K354" s="176">
        <f t="shared" si="149"/>
        <v>-2448.2299999999814</v>
      </c>
      <c r="L354" s="174">
        <f t="shared" si="135"/>
        <v>-7.5462068507634022E-3</v>
      </c>
      <c r="M354" s="186">
        <f t="shared" si="142"/>
        <v>21983.640000000014</v>
      </c>
      <c r="N354" s="188">
        <f t="shared" si="146"/>
        <v>7.3278800000000047E-2</v>
      </c>
      <c r="O354" s="186" t="b">
        <f t="shared" si="150"/>
        <v>0</v>
      </c>
      <c r="P354" s="188">
        <f>COUNTIF(O$2:O354, TRUE)/(COUNTIF(O$2:O354,FALSE) + COUNTIF(O$2:O354, TRUE))</f>
        <v>0.49291784702549574</v>
      </c>
      <c r="Q354" s="176">
        <v>303519</v>
      </c>
      <c r="R354" s="176">
        <f t="shared" si="139"/>
        <v>18464.640000000014</v>
      </c>
      <c r="S354" s="176">
        <v>-29290</v>
      </c>
      <c r="T354" s="176">
        <f t="shared" si="145"/>
        <v>51273.640000000014</v>
      </c>
      <c r="U354" s="188">
        <f>STDEV(D$2:D354)*SQRT(252)</f>
        <v>0.16022980090956176</v>
      </c>
      <c r="V354" s="188">
        <f>STDEV(L$2:L354)*SQRT(252)</f>
        <v>0.34790227833602405</v>
      </c>
      <c r="W354" s="186">
        <f t="shared" si="143"/>
        <v>0.21063041136288035</v>
      </c>
    </row>
    <row r="355" spans="2:23" ht="20.100000000000001" customHeight="1" x14ac:dyDescent="0.25">
      <c r="B355" s="175">
        <v>42774</v>
      </c>
      <c r="C355" s="219">
        <v>2294.67</v>
      </c>
      <c r="D355" s="174">
        <f t="shared" si="144"/>
        <v>6.9339054895605282E-4</v>
      </c>
      <c r="E355" s="213">
        <f t="shared" si="147"/>
        <v>9.1431860124426861E-2</v>
      </c>
      <c r="F355" s="223">
        <v>5682.45</v>
      </c>
      <c r="G355" s="174">
        <f t="shared" si="140"/>
        <v>1.4521845331772673E-3</v>
      </c>
      <c r="H355" s="207">
        <f t="shared" si="148"/>
        <v>0.11602215370112144</v>
      </c>
      <c r="I355" s="225">
        <v>320220.33</v>
      </c>
      <c r="J355" s="176">
        <v>300000</v>
      </c>
      <c r="K355" s="176">
        <f t="shared" si="149"/>
        <v>-1763.3099999999977</v>
      </c>
      <c r="L355" s="174">
        <f t="shared" si="135"/>
        <v>-5.4763962541699253E-3</v>
      </c>
      <c r="M355" s="186">
        <f t="shared" si="142"/>
        <v>20220.330000000016</v>
      </c>
      <c r="N355" s="188">
        <f t="shared" si="146"/>
        <v>6.7401100000000061E-2</v>
      </c>
      <c r="O355" s="186" t="b">
        <f t="shared" si="150"/>
        <v>0</v>
      </c>
      <c r="P355" s="188">
        <f>COUNTIF(O$2:O355, TRUE)/(COUNTIF(O$2:O355,FALSE) + COUNTIF(O$2:O355, TRUE))</f>
        <v>0.49152542372881358</v>
      </c>
      <c r="Q355" s="176">
        <v>292567</v>
      </c>
      <c r="R355" s="176">
        <f t="shared" si="139"/>
        <v>27653.330000000016</v>
      </c>
      <c r="S355" s="176">
        <v>-30165</v>
      </c>
      <c r="T355" s="176">
        <f t="shared" si="145"/>
        <v>50385.330000000016</v>
      </c>
      <c r="U355" s="188">
        <f>STDEV(D$2:D355)*SQRT(252)</f>
        <v>0.16000238989195567</v>
      </c>
      <c r="V355" s="188">
        <f>STDEV(L$2:L355)*SQRT(252)</f>
        <v>0.34744654612529025</v>
      </c>
      <c r="W355" s="186">
        <f t="shared" si="143"/>
        <v>0.19398984031257294</v>
      </c>
    </row>
    <row r="356" spans="2:23" ht="20.100000000000001" customHeight="1" x14ac:dyDescent="0.25">
      <c r="B356" s="175">
        <v>42775</v>
      </c>
      <c r="C356" s="219">
        <v>2307.87</v>
      </c>
      <c r="D356" s="174">
        <f t="shared" si="144"/>
        <v>5.7524611382027994E-3</v>
      </c>
      <c r="E356" s="213">
        <f t="shared" si="147"/>
        <v>9.7710279484789025E-2</v>
      </c>
      <c r="F356" s="223">
        <v>5715.18</v>
      </c>
      <c r="G356" s="174">
        <f t="shared" si="140"/>
        <v>5.7598395058470336E-3</v>
      </c>
      <c r="H356" s="207">
        <f t="shared" si="148"/>
        <v>0.12245026219140964</v>
      </c>
      <c r="I356" s="225">
        <v>320817.13</v>
      </c>
      <c r="J356" s="176">
        <v>300000</v>
      </c>
      <c r="K356" s="176">
        <f t="shared" si="149"/>
        <v>596.79999999998836</v>
      </c>
      <c r="L356" s="174">
        <f t="shared" si="135"/>
        <v>1.8637167727607686E-3</v>
      </c>
      <c r="M356" s="186">
        <f t="shared" si="142"/>
        <v>20817.130000000005</v>
      </c>
      <c r="N356" s="188">
        <f t="shared" si="146"/>
        <v>6.9390433333333348E-2</v>
      </c>
      <c r="O356" s="186" t="b">
        <f t="shared" si="150"/>
        <v>0</v>
      </c>
      <c r="P356" s="188">
        <f>COUNTIF(O$2:O356, TRUE)/(COUNTIF(O$2:O356,FALSE) + COUNTIF(O$2:O356, TRUE))</f>
        <v>0.49014084507042255</v>
      </c>
      <c r="Q356" s="176">
        <v>304352.8</v>
      </c>
      <c r="R356" s="176">
        <f t="shared" si="139"/>
        <v>16464.330000000016</v>
      </c>
      <c r="S356" s="176">
        <v>-31263</v>
      </c>
      <c r="T356" s="176">
        <f t="shared" si="145"/>
        <v>52080.130000000005</v>
      </c>
      <c r="U356" s="188">
        <f>STDEV(D$2:D356)*SQRT(252)</f>
        <v>0.15984184975435473</v>
      </c>
      <c r="V356" s="188">
        <f>STDEV(L$2:L356)*SQRT(252)</f>
        <v>0.34695557071098138</v>
      </c>
      <c r="W356" s="186">
        <f t="shared" si="143"/>
        <v>0.19999803776356284</v>
      </c>
    </row>
    <row r="357" spans="2:23" ht="20.100000000000001" customHeight="1" x14ac:dyDescent="0.25">
      <c r="B357" s="175">
        <v>42776</v>
      </c>
      <c r="C357" s="219">
        <v>2316.1</v>
      </c>
      <c r="D357" s="174">
        <f t="shared" si="144"/>
        <v>3.566058746809837E-3</v>
      </c>
      <c r="E357" s="213">
        <f t="shared" si="147"/>
        <v>0.10162477882840883</v>
      </c>
      <c r="F357" s="223">
        <v>5734.12</v>
      </c>
      <c r="G357" s="174">
        <f t="shared" si="140"/>
        <v>3.3139813619167896E-3</v>
      </c>
      <c r="H357" s="207">
        <f t="shared" si="148"/>
        <v>0.12617004143999058</v>
      </c>
      <c r="I357" s="225">
        <v>324003.01</v>
      </c>
      <c r="J357" s="176">
        <v>300000</v>
      </c>
      <c r="K357" s="176">
        <f t="shared" si="149"/>
        <v>3185.8800000000047</v>
      </c>
      <c r="L357" s="174">
        <f t="shared" si="135"/>
        <v>9.9305171142201939E-3</v>
      </c>
      <c r="M357" s="186">
        <f t="shared" si="142"/>
        <v>24003.010000000009</v>
      </c>
      <c r="N357" s="188">
        <f t="shared" si="146"/>
        <v>8.0010033333333369E-2</v>
      </c>
      <c r="O357" s="186" t="b">
        <f t="shared" si="150"/>
        <v>1</v>
      </c>
      <c r="P357" s="188">
        <f>COUNTIF(O$2:O357, TRUE)/(COUNTIF(O$2:O357,FALSE) + COUNTIF(O$2:O357, TRUE))</f>
        <v>0.49157303370786515</v>
      </c>
      <c r="Q357" s="176">
        <v>304805.15000000002</v>
      </c>
      <c r="R357" s="176">
        <f t="shared" si="139"/>
        <v>19197.859999999986</v>
      </c>
      <c r="S357" s="176">
        <v>-29099</v>
      </c>
      <c r="T357" s="176">
        <f t="shared" si="145"/>
        <v>53102.010000000009</v>
      </c>
      <c r="U357" s="188">
        <f>STDEV(D$2:D357)*SQRT(252)</f>
        <v>0.15963944268127239</v>
      </c>
      <c r="V357" s="188">
        <f>STDEV(L$2:L357)*SQRT(252)</f>
        <v>0.34655330158164083</v>
      </c>
      <c r="W357" s="186">
        <f t="shared" si="143"/>
        <v>0.230873672154252</v>
      </c>
    </row>
    <row r="358" spans="2:23" ht="20.100000000000001" customHeight="1" x14ac:dyDescent="0.25">
      <c r="B358" s="248">
        <v>42779</v>
      </c>
      <c r="C358" s="338">
        <v>2328.25</v>
      </c>
      <c r="D358" s="174">
        <f t="shared" si="144"/>
        <v>5.2458874832693285E-3</v>
      </c>
      <c r="E358" s="250">
        <f t="shared" si="147"/>
        <v>0.10740377846692412</v>
      </c>
      <c r="F358" s="251">
        <v>5763.95</v>
      </c>
      <c r="G358" s="174">
        <f t="shared" si="140"/>
        <v>5.2021931874463613E-3</v>
      </c>
      <c r="H358" s="252">
        <f t="shared" si="148"/>
        <v>0.1320285955574759</v>
      </c>
      <c r="I358" s="569">
        <v>323021.71000000002</v>
      </c>
      <c r="J358" s="254">
        <v>300000</v>
      </c>
      <c r="K358" s="254">
        <f t="shared" si="149"/>
        <v>-981.29999999998836</v>
      </c>
      <c r="L358" s="174">
        <f t="shared" si="135"/>
        <v>-3.0286755669337402E-3</v>
      </c>
      <c r="M358" s="618">
        <f t="shared" si="142"/>
        <v>23021.710000000021</v>
      </c>
      <c r="N358" s="256">
        <f t="shared" si="146"/>
        <v>7.6739033333333401E-2</v>
      </c>
      <c r="O358" s="255" t="b">
        <f t="shared" si="150"/>
        <v>0</v>
      </c>
      <c r="P358" s="256">
        <f>COUNTIF(O$2:O358, TRUE)/(COUNTIF(O$2:O358,FALSE) + COUNTIF(O$2:O358, TRUE))</f>
        <v>0.49019607843137253</v>
      </c>
      <c r="Q358" s="254">
        <v>303829.84999999998</v>
      </c>
      <c r="R358" s="254">
        <f t="shared" si="139"/>
        <v>19191.860000000044</v>
      </c>
      <c r="S358" s="254">
        <v>-28482</v>
      </c>
      <c r="T358" s="254">
        <f t="shared" si="145"/>
        <v>51503.710000000021</v>
      </c>
      <c r="U358" s="256">
        <f>STDEV(D$2:D358)*SQRT(252)</f>
        <v>0.15946823741298166</v>
      </c>
      <c r="V358" s="256">
        <f>STDEV(L$2:L358)*SQRT(252)</f>
        <v>0.34607892866590223</v>
      </c>
      <c r="W358" s="255">
        <f t="shared" si="143"/>
        <v>0.22173853123376877</v>
      </c>
    </row>
    <row r="359" spans="2:23" ht="20.100000000000001" customHeight="1" x14ac:dyDescent="0.25">
      <c r="B359" s="248">
        <v>42780</v>
      </c>
      <c r="C359" s="338">
        <v>2337.58</v>
      </c>
      <c r="D359" s="174">
        <f t="shared" si="144"/>
        <v>4.0073016213894247E-3</v>
      </c>
      <c r="E359" s="250">
        <f t="shared" si="147"/>
        <v>0.1118414794239074</v>
      </c>
      <c r="F359" s="251">
        <v>5782.57</v>
      </c>
      <c r="G359" s="174">
        <f>(F359-F358)/F358</f>
        <v>3.2304235810511699E-3</v>
      </c>
      <c r="H359" s="252">
        <f t="shared" si="148"/>
        <v>0.135685527426989</v>
      </c>
      <c r="I359" s="569">
        <v>323822.24</v>
      </c>
      <c r="J359" s="254">
        <v>300000</v>
      </c>
      <c r="K359" s="254">
        <f t="shared" si="149"/>
        <v>800.52999999996973</v>
      </c>
      <c r="L359" s="174">
        <f t="shared" si="135"/>
        <v>2.4782544801709139E-3</v>
      </c>
      <c r="M359" s="618">
        <f t="shared" si="142"/>
        <v>23822.239999999991</v>
      </c>
      <c r="N359" s="256">
        <f t="shared" si="146"/>
        <v>7.9407466666666635E-2</v>
      </c>
      <c r="O359" s="255" t="b">
        <f t="shared" si="150"/>
        <v>0</v>
      </c>
      <c r="P359" s="256">
        <f>COUNTIF(O$2:O359, TRUE)/(COUNTIF(O$2:O359,FALSE) + COUNTIF(O$2:O359, TRUE))</f>
        <v>0.48882681564245811</v>
      </c>
      <c r="Q359" s="254">
        <v>305870.8</v>
      </c>
      <c r="R359" s="254">
        <f t="shared" si="139"/>
        <v>17951.440000000002</v>
      </c>
      <c r="S359" s="254">
        <v>-29398</v>
      </c>
      <c r="T359" s="254">
        <f t="shared" si="145"/>
        <v>53220.239999999991</v>
      </c>
      <c r="U359" s="256">
        <f>STDEV(D$2:D359)*SQRT(252)</f>
        <v>0.15927396470902513</v>
      </c>
      <c r="V359" s="256">
        <f>STDEV(L$2:L359)*SQRT(252)</f>
        <v>0.34559585796203202</v>
      </c>
      <c r="W359" s="255">
        <f t="shared" si="143"/>
        <v>0.22976972911345056</v>
      </c>
    </row>
    <row r="360" spans="2:23" ht="20.100000000000001" customHeight="1" x14ac:dyDescent="0.25">
      <c r="B360" s="248">
        <v>42781</v>
      </c>
      <c r="C360" s="338">
        <v>2349.25</v>
      </c>
      <c r="D360" s="174">
        <f t="shared" si="144"/>
        <v>4.9923425080639263E-3</v>
      </c>
      <c r="E360" s="250">
        <f t="shared" si="147"/>
        <v>0.11739217290386406</v>
      </c>
      <c r="F360" s="251">
        <v>5819.44</v>
      </c>
      <c r="G360" s="174">
        <f t="shared" ref="G360:G367" si="151">(F360-F359)/F359</f>
        <v>6.376057704446274E-3</v>
      </c>
      <c r="H360" s="252">
        <f t="shared" si="148"/>
        <v>0.14292672388396799</v>
      </c>
      <c r="I360" s="569">
        <v>324896.15000000002</v>
      </c>
      <c r="J360" s="254">
        <v>300000</v>
      </c>
      <c r="K360" s="254">
        <f t="shared" si="149"/>
        <v>1073.9100000000326</v>
      </c>
      <c r="L360" s="174">
        <f t="shared" si="135"/>
        <v>3.3163565294342741E-3</v>
      </c>
      <c r="M360" s="618">
        <f t="shared" si="142"/>
        <v>24896.150000000023</v>
      </c>
      <c r="N360" s="256">
        <f t="shared" si="146"/>
        <v>8.2987166666666751E-2</v>
      </c>
      <c r="O360" s="255" t="b">
        <f t="shared" si="150"/>
        <v>0</v>
      </c>
      <c r="P360" s="256">
        <f>COUNTIF(O$2:O360, TRUE)/(COUNTIF(O$2:O360,FALSE) + COUNTIF(O$2:O360, TRUE))</f>
        <v>0.48746518105849584</v>
      </c>
      <c r="Q360" s="254">
        <v>284558.05</v>
      </c>
      <c r="R360" s="254">
        <f t="shared" si="139"/>
        <v>40338.100000000035</v>
      </c>
      <c r="S360" s="254">
        <v>-27681</v>
      </c>
      <c r="T360" s="254">
        <f t="shared" si="145"/>
        <v>52577.150000000023</v>
      </c>
      <c r="U360" s="256">
        <f>STDEV(D$2:D360)*SQRT(252)</f>
        <v>0.15909847799191273</v>
      </c>
      <c r="V360" s="256">
        <f>STDEV(L$2:L360)*SQRT(252)</f>
        <v>0.34511860211054446</v>
      </c>
      <c r="W360" s="255">
        <f t="shared" si="143"/>
        <v>0.24045984817730934</v>
      </c>
    </row>
    <row r="361" spans="2:23" ht="20.100000000000001" customHeight="1" x14ac:dyDescent="0.25">
      <c r="B361" s="248">
        <v>42782</v>
      </c>
      <c r="C361" s="338">
        <v>2347.2199999999998</v>
      </c>
      <c r="D361" s="174">
        <f t="shared" si="144"/>
        <v>-8.6410556560612964E-4</v>
      </c>
      <c r="E361" s="250">
        <f t="shared" si="147"/>
        <v>0.1164266281082931</v>
      </c>
      <c r="F361" s="251">
        <v>5814.9</v>
      </c>
      <c r="G361" s="174">
        <f t="shared" si="151"/>
        <v>-7.8014379390456195E-4</v>
      </c>
      <c r="H361" s="252">
        <f t="shared" si="148"/>
        <v>0.14203507669344223</v>
      </c>
      <c r="I361" s="569">
        <v>324092.39</v>
      </c>
      <c r="J361" s="254">
        <v>300000</v>
      </c>
      <c r="K361" s="254">
        <f t="shared" si="149"/>
        <v>-803.76000000000931</v>
      </c>
      <c r="L361" s="174">
        <f t="shared" si="135"/>
        <v>-2.4738981979318909E-3</v>
      </c>
      <c r="M361" s="618">
        <f t="shared" si="142"/>
        <v>24092.390000000014</v>
      </c>
      <c r="N361" s="256">
        <f t="shared" si="146"/>
        <v>8.0307966666666716E-2</v>
      </c>
      <c r="O361" s="255" t="b">
        <f t="shared" si="150"/>
        <v>0</v>
      </c>
      <c r="P361" s="256">
        <f>COUNTIF(O$2:O361, TRUE)/(COUNTIF(O$2:O361,FALSE) + COUNTIF(O$2:O361, TRUE))</f>
        <v>0.4861111111111111</v>
      </c>
      <c r="Q361" s="254">
        <v>276682.59999999998</v>
      </c>
      <c r="R361" s="254">
        <f t="shared" si="139"/>
        <v>47409.790000000037</v>
      </c>
      <c r="S361" s="254">
        <v>-27918</v>
      </c>
      <c r="T361" s="254">
        <f t="shared" si="145"/>
        <v>52010.390000000014</v>
      </c>
      <c r="U361" s="256">
        <f>STDEV(D$2:D361)*SQRT(252)</f>
        <v>0.15887942855924012</v>
      </c>
      <c r="V361" s="256">
        <f>STDEV(L$2:L361)*SQRT(252)</f>
        <v>0.34464640532598995</v>
      </c>
      <c r="W361" s="255">
        <f t="shared" si="143"/>
        <v>0.23301553541725176</v>
      </c>
    </row>
    <row r="362" spans="2:23" ht="20.100000000000001" customHeight="1" x14ac:dyDescent="0.25">
      <c r="B362" s="248">
        <v>42783</v>
      </c>
      <c r="C362" s="338">
        <v>2351.16</v>
      </c>
      <c r="D362" s="174">
        <f t="shared" si="144"/>
        <v>1.6785814708463864E-3</v>
      </c>
      <c r="E362" s="250">
        <f t="shared" ref="E362" si="152">(C362-$C$2)/$C$2</f>
        <v>0.11830064115979519</v>
      </c>
      <c r="F362" s="251">
        <v>5838.57</v>
      </c>
      <c r="G362" s="174">
        <f t="shared" si="151"/>
        <v>4.0705773100139422E-3</v>
      </c>
      <c r="H362" s="252">
        <f t="shared" ref="H362" si="153">(F362-F$2)/F$2</f>
        <v>0.1466838187638706</v>
      </c>
      <c r="I362" s="569">
        <v>324795.14</v>
      </c>
      <c r="J362" s="254">
        <v>300000</v>
      </c>
      <c r="K362" s="254">
        <f t="shared" ref="K362" si="154">I362-I361-J362+J361</f>
        <v>702.75</v>
      </c>
      <c r="L362" s="174">
        <f t="shared" si="135"/>
        <v>2.1683631633559798E-3</v>
      </c>
      <c r="M362" s="618">
        <f t="shared" ref="M362" si="155">I362-J362</f>
        <v>24795.140000000014</v>
      </c>
      <c r="N362" s="256">
        <f t="shared" ref="N362" si="156">M362/J362</f>
        <v>8.2650466666666714E-2</v>
      </c>
      <c r="O362" s="255" t="b">
        <f t="shared" ref="O362" si="157">L362&gt;D362</f>
        <v>1</v>
      </c>
      <c r="P362" s="256">
        <f>COUNTIF(O$2:O362, TRUE)/(COUNTIF(O$2:O362,FALSE) + COUNTIF(O$2:O362, TRUE))</f>
        <v>0.48753462603878117</v>
      </c>
      <c r="Q362" s="254">
        <v>278866.34999999998</v>
      </c>
      <c r="R362" s="254">
        <f t="shared" ref="R362" si="158">I362-Q362</f>
        <v>45928.790000000037</v>
      </c>
      <c r="S362" s="254">
        <v>-28366</v>
      </c>
      <c r="T362" s="254">
        <f t="shared" ref="T362" si="159">M362-S362</f>
        <v>53161.140000000014</v>
      </c>
      <c r="U362" s="256">
        <f>STDEV(D$2:D362)*SQRT(252)</f>
        <v>0.15866184861852722</v>
      </c>
      <c r="V362" s="256">
        <f>STDEV(L$2:L362)*SQRT(252)</f>
        <v>0.34416833184520351</v>
      </c>
      <c r="W362" s="255">
        <f t="shared" ref="W362" si="160">N362/V362</f>
        <v>0.2401454724888529</v>
      </c>
    </row>
    <row r="363" spans="2:23" ht="20.100000000000001" customHeight="1" x14ac:dyDescent="0.25">
      <c r="B363" s="175">
        <v>42787</v>
      </c>
      <c r="C363" s="219">
        <v>2365.38</v>
      </c>
      <c r="D363" s="174">
        <f t="shared" si="144"/>
        <v>6.048078395345385E-3</v>
      </c>
      <c r="E363" s="213">
        <f t="shared" ref="E363" si="161">(C363-$C$2)/$C$2</f>
        <v>0.12506421110709465</v>
      </c>
      <c r="F363" s="223">
        <v>5865.94</v>
      </c>
      <c r="G363" s="174">
        <f t="shared" si="151"/>
        <v>4.6877917024202662E-3</v>
      </c>
      <c r="H363" s="207">
        <f t="shared" ref="H363" si="162">(F363-F$2)/F$2</f>
        <v>0.15205923365477145</v>
      </c>
      <c r="I363" s="225">
        <v>327591.99</v>
      </c>
      <c r="J363" s="176">
        <v>300000</v>
      </c>
      <c r="K363" s="176">
        <f t="shared" ref="K363" si="163">I363-I362-J363+J362</f>
        <v>2796.8499999999767</v>
      </c>
      <c r="L363" s="174">
        <f t="shared" si="135"/>
        <v>8.6111202279688555E-3</v>
      </c>
      <c r="M363" s="186">
        <f t="shared" ref="M363" si="164">I363-J363</f>
        <v>27591.989999999991</v>
      </c>
      <c r="N363" s="188">
        <f t="shared" ref="N363" si="165">M363/J363</f>
        <v>9.1973299999999966E-2</v>
      </c>
      <c r="O363" s="186" t="b">
        <f t="shared" ref="O363" si="166">L363&gt;D363</f>
        <v>1</v>
      </c>
      <c r="P363" s="188">
        <f>COUNTIF(O$2:O363, TRUE)/(COUNTIF(O$2:O363,FALSE) + COUNTIF(O$2:O363, TRUE))</f>
        <v>0.4889502762430939</v>
      </c>
      <c r="Q363" s="176">
        <v>277216.90000000002</v>
      </c>
      <c r="R363" s="176">
        <f t="shared" ref="R363" si="167">I363-Q363</f>
        <v>50375.089999999967</v>
      </c>
      <c r="S363" s="176">
        <v>-27825</v>
      </c>
      <c r="T363" s="176">
        <f t="shared" ref="T363" si="168">M363-S363</f>
        <v>55416.989999999991</v>
      </c>
      <c r="U363" s="188">
        <f>STDEV(D$2:D363)*SQRT(252)</f>
        <v>0.15851258059839493</v>
      </c>
      <c r="V363" s="188">
        <f>STDEV(L$2:L363)*SQRT(252)</f>
        <v>0.34375388760818432</v>
      </c>
      <c r="W363" s="186">
        <f t="shared" ref="W363" si="169">N363/V363</f>
        <v>0.26755566501354733</v>
      </c>
    </row>
    <row r="364" spans="2:23" ht="20.100000000000001" customHeight="1" x14ac:dyDescent="0.25">
      <c r="B364" s="175">
        <v>42788</v>
      </c>
      <c r="C364" s="219">
        <v>2362.8200000000002</v>
      </c>
      <c r="D364" s="174">
        <f t="shared" ref="D364:D367" si="170">(C364-C363)/C363</f>
        <v>-1.0822785345271986E-3</v>
      </c>
      <c r="E364" s="213">
        <f t="shared" ref="E364" si="171">(C364-$C$2)/$C$2</f>
        <v>0.12384657826144865</v>
      </c>
      <c r="F364" s="223">
        <v>5860.62</v>
      </c>
      <c r="G364" s="174">
        <f t="shared" si="151"/>
        <v>-9.069305175299627E-4</v>
      </c>
      <c r="H364" s="207">
        <f t="shared" ref="H364" si="172">(F364-F$2)/F$2</f>
        <v>0.15101439597776775</v>
      </c>
      <c r="I364" s="225">
        <v>323529.21999999997</v>
      </c>
      <c r="J364" s="176">
        <v>300000</v>
      </c>
      <c r="K364" s="176">
        <f t="shared" ref="K364" si="173">I364-I363-J364+J363</f>
        <v>-4062.7700000000186</v>
      </c>
      <c r="L364" s="174">
        <f t="shared" si="135"/>
        <v>-1.2401921060402053E-2</v>
      </c>
      <c r="M364" s="186">
        <f t="shared" ref="M364" si="174">I364-J364</f>
        <v>23529.219999999972</v>
      </c>
      <c r="N364" s="188">
        <f t="shared" ref="N364" si="175">M364/J364</f>
        <v>7.8430733333333238E-2</v>
      </c>
      <c r="O364" s="186" t="b">
        <f t="shared" ref="O364" si="176">L364&gt;D364</f>
        <v>0</v>
      </c>
      <c r="P364" s="188">
        <f>COUNTIF(O$2:O364, TRUE)/(COUNTIF(O$2:O364,FALSE) + COUNTIF(O$2:O364, TRUE))</f>
        <v>0.48760330578512395</v>
      </c>
      <c r="Q364" s="176">
        <v>282939</v>
      </c>
      <c r="R364" s="176">
        <f t="shared" ref="R364" si="177">I364-Q364</f>
        <v>40590.219999999972</v>
      </c>
      <c r="S364" s="176">
        <v>-27755</v>
      </c>
      <c r="T364" s="176">
        <f t="shared" ref="T364" si="178">M364-S364</f>
        <v>51284.219999999972</v>
      </c>
      <c r="U364" s="188">
        <f>STDEV(D$2:D364)*SQRT(252)</f>
        <v>0.15829755838348511</v>
      </c>
      <c r="V364" s="188">
        <f>STDEV(L$2:L364)*SQRT(252)</f>
        <v>0.34345146520795911</v>
      </c>
      <c r="W364" s="186">
        <f t="shared" ref="W364" si="179">N364/V364</f>
        <v>0.22836045636271665</v>
      </c>
    </row>
    <row r="365" spans="2:23" ht="20.100000000000001" customHeight="1" x14ac:dyDescent="0.25">
      <c r="B365" s="175">
        <v>42789</v>
      </c>
      <c r="C365" s="219">
        <v>2363.81</v>
      </c>
      <c r="D365" s="174">
        <f t="shared" si="170"/>
        <v>4.1899086684545658E-4</v>
      </c>
      <c r="E365" s="213">
        <f t="shared" ref="E365" si="180">(C365-$C$2)/$C$2</f>
        <v>0.12431745971347571</v>
      </c>
      <c r="F365" s="223">
        <v>5835.5</v>
      </c>
      <c r="G365" s="174">
        <f t="shared" si="151"/>
        <v>-4.2862359272568245E-3</v>
      </c>
      <c r="H365" s="207">
        <f t="shared" ref="H365" si="181">(F365-F$2)/F$2</f>
        <v>0.14608087672093803</v>
      </c>
      <c r="I365" s="225">
        <v>324343.32</v>
      </c>
      <c r="J365" s="176">
        <v>300000</v>
      </c>
      <c r="K365" s="176">
        <f t="shared" ref="K365" si="182">I365-I364-J365+J364</f>
        <v>814.10000000003492</v>
      </c>
      <c r="L365" s="174">
        <f t="shared" si="135"/>
        <v>2.5163105823951077E-3</v>
      </c>
      <c r="M365" s="186">
        <f t="shared" ref="M365" si="183">I365-J365</f>
        <v>24343.320000000007</v>
      </c>
      <c r="N365" s="188">
        <f t="shared" ref="N365" si="184">M365/J365</f>
        <v>8.1144400000000019E-2</v>
      </c>
      <c r="O365" s="186" t="b">
        <f t="shared" ref="O365" si="185">L365&gt;D365</f>
        <v>1</v>
      </c>
      <c r="P365" s="188">
        <f>COUNTIF(O$2:O365, TRUE)/(COUNTIF(O$2:O365,FALSE) + COUNTIF(O$2:O365, TRUE))</f>
        <v>0.48901098901098899</v>
      </c>
      <c r="Q365" s="176">
        <v>285337.09999999998</v>
      </c>
      <c r="R365" s="176">
        <f t="shared" ref="R365" si="186">I365-Q365</f>
        <v>39006.22000000003</v>
      </c>
      <c r="S365" s="176">
        <v>-27553</v>
      </c>
      <c r="T365" s="176">
        <f t="shared" ref="T365" si="187">M365-S365</f>
        <v>51896.320000000007</v>
      </c>
      <c r="U365" s="188">
        <f>STDEV(D$2:D365)*SQRT(252)</f>
        <v>0.15807876897869375</v>
      </c>
      <c r="V365" s="188">
        <f>STDEV(L$2:L365)*SQRT(252)</f>
        <v>0.34298022830974206</v>
      </c>
      <c r="W365" s="186">
        <f t="shared" ref="W365" si="188">N365/V365</f>
        <v>0.23658623238981377</v>
      </c>
    </row>
    <row r="366" spans="2:23" ht="20.100000000000001" customHeight="1" x14ac:dyDescent="0.25">
      <c r="B366" s="175">
        <v>42790</v>
      </c>
      <c r="C366" s="219">
        <v>2367.34</v>
      </c>
      <c r="D366" s="174">
        <f t="shared" si="170"/>
        <v>1.4933518345383937E-3</v>
      </c>
      <c r="E366" s="213">
        <f t="shared" ref="E366" si="189">(C366-$C$2)/$C$2</f>
        <v>0.12599646125454239</v>
      </c>
      <c r="F366" s="223">
        <v>5845.3</v>
      </c>
      <c r="G366" s="174">
        <f t="shared" si="151"/>
        <v>1.6793762316854052E-3</v>
      </c>
      <c r="H366" s="207">
        <f t="shared" ref="H366" si="190">(F366-F$2)/F$2</f>
        <v>0.14800557770489237</v>
      </c>
      <c r="I366" s="225">
        <v>322787.92</v>
      </c>
      <c r="J366" s="176">
        <v>300000</v>
      </c>
      <c r="K366" s="176">
        <f t="shared" ref="K366" si="191">I366-I365-J366+J365</f>
        <v>-1555.4000000000233</v>
      </c>
      <c r="L366" s="174">
        <f t="shared" si="135"/>
        <v>-4.7955357921353929E-3</v>
      </c>
      <c r="M366" s="186">
        <f t="shared" ref="M366" si="192">I366-J366</f>
        <v>22787.919999999984</v>
      </c>
      <c r="N366" s="188">
        <f t="shared" ref="N366" si="193">M366/J366</f>
        <v>7.5959733333333279E-2</v>
      </c>
      <c r="O366" s="186" t="b">
        <f t="shared" ref="O366" si="194">L366&gt;D366</f>
        <v>0</v>
      </c>
      <c r="P366" s="188">
        <f>COUNTIF(O$2:O366, TRUE)/(COUNTIF(O$2:O366,FALSE) + COUNTIF(O$2:O366, TRUE))</f>
        <v>0.48767123287671232</v>
      </c>
      <c r="Q366" s="176">
        <v>281387.75</v>
      </c>
      <c r="R366" s="176">
        <f t="shared" ref="R366" si="195">I366-Q366</f>
        <v>41400.169999999984</v>
      </c>
      <c r="S366" s="176">
        <v>-27481</v>
      </c>
      <c r="T366" s="176">
        <f t="shared" ref="T366" si="196">M366-S366</f>
        <v>50268.919999999984</v>
      </c>
      <c r="U366" s="188">
        <f>STDEV(D$2:D366)*SQRT(252)</f>
        <v>0.1578636357935907</v>
      </c>
      <c r="V366" s="188">
        <f>STDEV(L$2:L366)*SQRT(252)</f>
        <v>0.34253765890970073</v>
      </c>
      <c r="W366" s="186">
        <f t="shared" ref="W366" si="197">N366/V366</f>
        <v>0.22175586058220148</v>
      </c>
    </row>
    <row r="367" spans="2:23" ht="20.100000000000001" customHeight="1" x14ac:dyDescent="0.25">
      <c r="B367" s="248">
        <v>42793</v>
      </c>
      <c r="C367" s="338">
        <v>2369.75</v>
      </c>
      <c r="D367" s="174">
        <f t="shared" si="170"/>
        <v>1.0180202252316332E-3</v>
      </c>
      <c r="E367" s="250">
        <f t="shared" ref="E367" si="198">(C367-$C$2)/$C$2</f>
        <v>0.12714274842563875</v>
      </c>
      <c r="F367" s="251">
        <v>5861.89</v>
      </c>
      <c r="G367" s="174">
        <f t="shared" si="151"/>
        <v>2.8381776812139918E-3</v>
      </c>
      <c r="H367" s="252">
        <f t="shared" ref="H367" si="199">(F367-F$2)/F$2</f>
        <v>0.15126382151344356</v>
      </c>
      <c r="I367" s="569">
        <v>323797.27</v>
      </c>
      <c r="J367" s="254">
        <v>300000</v>
      </c>
      <c r="K367" s="254">
        <f t="shared" ref="K367" si="200">I367-I366-J367+J366</f>
        <v>1009.3500000000349</v>
      </c>
      <c r="L367" s="174">
        <f t="shared" si="135"/>
        <v>3.126975755474477E-3</v>
      </c>
      <c r="M367" s="618">
        <f t="shared" ref="M367" si="201">I367-J367</f>
        <v>23797.270000000019</v>
      </c>
      <c r="N367" s="256">
        <f t="shared" ref="N367" si="202">M367/J367</f>
        <v>7.9324233333333397E-2</v>
      </c>
      <c r="O367" s="255" t="b">
        <f t="shared" ref="O367" si="203">L367&gt;D367</f>
        <v>1</v>
      </c>
      <c r="P367" s="256">
        <f>COUNTIF(O$2:O367, TRUE)/(COUNTIF(O$2:O367,FALSE) + COUNTIF(O$2:O367, TRUE))</f>
        <v>0.48907103825136611</v>
      </c>
      <c r="Q367" s="254">
        <v>291059.09999999998</v>
      </c>
      <c r="R367" s="254">
        <f t="shared" ref="R367" si="204">I367-Q367</f>
        <v>32738.170000000042</v>
      </c>
      <c r="S367" s="254">
        <v>-27481</v>
      </c>
      <c r="T367" s="254">
        <f t="shared" ref="T367" si="205">M367-S367</f>
        <v>51278.270000000019</v>
      </c>
      <c r="U367" s="256">
        <f>STDEV(D$2:D367)*SQRT(252)</f>
        <v>0.15764754565745331</v>
      </c>
      <c r="V367" s="256">
        <f>STDEV(L$2:L367)*SQRT(252)</f>
        <v>0.34207298681396164</v>
      </c>
      <c r="W367" s="255">
        <f t="shared" ref="W367" si="206">N367/V367</f>
        <v>0.23189271410219345</v>
      </c>
    </row>
    <row r="368" spans="2:23" ht="20.100000000000001" customHeight="1" x14ac:dyDescent="0.25">
      <c r="B368" s="248">
        <v>42794</v>
      </c>
      <c r="C368" s="338">
        <v>2363.64</v>
      </c>
      <c r="D368" s="174">
        <f t="shared" ref="D368" si="207">(C368-C367)/C367</f>
        <v>-2.5783310475789123E-3</v>
      </c>
      <c r="E368" s="250">
        <f t="shared" ref="E368" si="208">(C368-$C$2)/$C$2</f>
        <v>0.1242366012823195</v>
      </c>
      <c r="F368" s="251">
        <v>5825.43</v>
      </c>
      <c r="G368" s="174">
        <f t="shared" ref="G368" si="209">(F368-F367)/F367</f>
        <v>-6.2198369467867934E-3</v>
      </c>
      <c r="H368" s="252">
        <f t="shared" ref="H368" si="210">(F368-F$2)/F$2</f>
        <v>0.14410314826089529</v>
      </c>
      <c r="I368" s="689">
        <v>320573.07</v>
      </c>
      <c r="J368" s="254">
        <v>300000</v>
      </c>
      <c r="K368" s="254">
        <f t="shared" ref="K368" si="211">I368-I367-J368+J367</f>
        <v>-3224.2000000000116</v>
      </c>
      <c r="L368" s="174">
        <f t="shared" si="135"/>
        <v>-9.9574650521297211E-3</v>
      </c>
      <c r="M368" s="421">
        <f t="shared" ref="M368" si="212">I368-J368</f>
        <v>20573.070000000007</v>
      </c>
      <c r="N368" s="256">
        <f t="shared" ref="N368" si="213">M368/J368</f>
        <v>6.8576900000000024E-2</v>
      </c>
      <c r="O368" s="255" t="b">
        <f t="shared" ref="O368" si="214">L368&gt;D368</f>
        <v>0</v>
      </c>
      <c r="P368" s="256">
        <f>COUNTIF(O$2:O368, TRUE)/(COUNTIF(O$2:O368,FALSE) + COUNTIF(O$2:O368, TRUE))</f>
        <v>0.4877384196185286</v>
      </c>
      <c r="Q368" s="674">
        <v>291060.09999999998</v>
      </c>
      <c r="R368" s="254">
        <f t="shared" ref="R368" si="215">I368-Q368</f>
        <v>29512.97000000003</v>
      </c>
      <c r="S368" s="254">
        <v>-28947</v>
      </c>
      <c r="T368" s="254">
        <f t="shared" ref="T368" si="216">M368-S368</f>
        <v>49520.070000000007</v>
      </c>
      <c r="U368" s="256">
        <f>STDEV(D$2:D368)*SQRT(252)</f>
        <v>0.15745054015923535</v>
      </c>
      <c r="V368" s="256">
        <f>STDEV(L$2:L368)*SQRT(252)</f>
        <v>0.34171768375155076</v>
      </c>
      <c r="W368" s="255">
        <f t="shared" ref="W368" si="217">N368/V368</f>
        <v>0.20068291241801681</v>
      </c>
    </row>
    <row r="369" spans="2:23" ht="20.100000000000001" customHeight="1" x14ac:dyDescent="0.25">
      <c r="B369" s="248">
        <v>42795</v>
      </c>
      <c r="C369" s="338">
        <v>2395.96</v>
      </c>
      <c r="D369" s="174">
        <f t="shared" ref="D369:D374" si="218">(C369-C368)/C368</f>
        <v>1.3673825117192197E-2</v>
      </c>
      <c r="E369" s="250">
        <f t="shared" ref="E369" si="219">(C369-$C$2)/$C$2</f>
        <v>0.13960921595860046</v>
      </c>
      <c r="F369" s="251">
        <v>5904.02</v>
      </c>
      <c r="G369" s="174">
        <f t="shared" ref="G369:G374" si="220">(F369-F368)/F368</f>
        <v>1.3490849602518637E-2</v>
      </c>
      <c r="H369" s="252">
        <f t="shared" ref="H369" si="221">(F369-F$2)/F$2</f>
        <v>0.1595380717638511</v>
      </c>
      <c r="I369" s="569">
        <v>325744.14</v>
      </c>
      <c r="J369" s="254">
        <v>300000</v>
      </c>
      <c r="K369" s="254">
        <f t="shared" ref="K369" si="222">I369-I368-J369+J368</f>
        <v>5171.070000000007</v>
      </c>
      <c r="L369" s="174">
        <f t="shared" si="135"/>
        <v>1.613070617566225E-2</v>
      </c>
      <c r="M369" s="618">
        <f t="shared" ref="M369" si="223">I369-J369</f>
        <v>25744.140000000014</v>
      </c>
      <c r="N369" s="256">
        <f t="shared" ref="N369" si="224">M369/J369</f>
        <v>8.5813800000000051E-2</v>
      </c>
      <c r="O369" s="255" t="b">
        <f t="shared" ref="O369" si="225">L369&gt;D369</f>
        <v>1</v>
      </c>
      <c r="P369" s="256">
        <f>COUNTIF(O$2:O369, TRUE)/(COUNTIF(O$2:O369,FALSE) + COUNTIF(O$2:O369, TRUE))</f>
        <v>0.4891304347826087</v>
      </c>
      <c r="Q369" s="254">
        <v>291563.05</v>
      </c>
      <c r="R369" s="254">
        <f t="shared" ref="R369" si="226">I369-Q369</f>
        <v>34181.090000000026</v>
      </c>
      <c r="S369" s="254">
        <v>-28845</v>
      </c>
      <c r="T369" s="254">
        <f t="shared" ref="T369" si="227">M369-S369</f>
        <v>54589.140000000014</v>
      </c>
      <c r="U369" s="256">
        <f>STDEV(D$2:D369)*SQRT(252)</f>
        <v>0.15762134629623176</v>
      </c>
      <c r="V369" s="256">
        <f>STDEV(L$2:L369)*SQRT(252)</f>
        <v>0.34149211977878058</v>
      </c>
      <c r="W369" s="255">
        <f t="shared" ref="W369" si="228">N369/V369</f>
        <v>0.25129071808623415</v>
      </c>
    </row>
    <row r="370" spans="2:23" ht="20.100000000000001" customHeight="1" x14ac:dyDescent="0.25">
      <c r="B370" s="248">
        <v>42796</v>
      </c>
      <c r="C370" s="338">
        <v>2381.92</v>
      </c>
      <c r="D370" s="174">
        <f t="shared" si="218"/>
        <v>-5.8598641045760208E-3</v>
      </c>
      <c r="E370" s="250">
        <f t="shared" ref="E370" si="229">(C370-$C$2)/$C$2</f>
        <v>0.13293126082076065</v>
      </c>
      <c r="F370" s="251">
        <v>5861.22</v>
      </c>
      <c r="G370" s="174">
        <f t="shared" si="220"/>
        <v>-7.2492979359826317E-3</v>
      </c>
      <c r="H370" s="252">
        <f t="shared" ref="H370" si="230">(F370-F$2)/F$2</f>
        <v>0.15113223481352014</v>
      </c>
      <c r="I370" s="569">
        <v>374005.77</v>
      </c>
      <c r="J370" s="254">
        <v>350000</v>
      </c>
      <c r="K370" s="254">
        <f t="shared" ref="K370" si="231">I370-I369-J370+J369</f>
        <v>-1738.3699999999953</v>
      </c>
      <c r="L370" s="174">
        <f t="shared" si="135"/>
        <v>-5.3366117345963471E-3</v>
      </c>
      <c r="M370" s="618">
        <f t="shared" ref="M370" si="232">I370-J370</f>
        <v>24005.770000000019</v>
      </c>
      <c r="N370" s="256">
        <f t="shared" ref="N370" si="233">M370/J370</f>
        <v>6.8587914285714341E-2</v>
      </c>
      <c r="O370" s="255" t="b">
        <f t="shared" ref="O370" si="234">L370&gt;D370</f>
        <v>1</v>
      </c>
      <c r="P370" s="256">
        <f>COUNTIF(O$2:O370, TRUE)/(COUNTIF(O$2:O370,FALSE) + COUNTIF(O$2:O370, TRUE))</f>
        <v>0.49051490514905149</v>
      </c>
      <c r="Q370" s="254">
        <v>304393.15000000002</v>
      </c>
      <c r="R370" s="254">
        <f t="shared" ref="R370" si="235">I370-Q370</f>
        <v>69612.62</v>
      </c>
      <c r="S370" s="254">
        <v>-27836</v>
      </c>
      <c r="T370" s="254">
        <f t="shared" ref="T370" si="236">M370-S370</f>
        <v>51841.770000000019</v>
      </c>
      <c r="U370" s="256">
        <f>STDEV(D$2:D370)*SQRT(252)</f>
        <v>0.15749181284138711</v>
      </c>
      <c r="V370" s="256">
        <f>STDEV(L$2:L370)*SQRT(252)</f>
        <v>0.34106282769709534</v>
      </c>
      <c r="W370" s="255">
        <f t="shared" ref="W370" si="237">N370/V370</f>
        <v>0.2011005266942448</v>
      </c>
    </row>
    <row r="371" spans="2:23" ht="20.100000000000001" customHeight="1" x14ac:dyDescent="0.25">
      <c r="B371" s="248">
        <v>42797</v>
      </c>
      <c r="C371" s="338">
        <v>2383.12</v>
      </c>
      <c r="D371" s="174">
        <f t="shared" si="218"/>
        <v>5.0379525760723201E-4</v>
      </c>
      <c r="E371" s="250">
        <f t="shared" ref="E371" si="238">(C371-$C$2)/$C$2</f>
        <v>0.13350202621715712</v>
      </c>
      <c r="F371" s="251">
        <v>5870.75</v>
      </c>
      <c r="G371" s="174">
        <f t="shared" si="220"/>
        <v>1.6259413569188232E-3</v>
      </c>
      <c r="H371" s="252">
        <f t="shared" ref="H371" si="239">(F371-F$2)/F$2</f>
        <v>0.15300390832138583</v>
      </c>
      <c r="I371" s="569">
        <v>372756.96</v>
      </c>
      <c r="J371" s="254">
        <v>350000</v>
      </c>
      <c r="K371" s="254">
        <f t="shared" ref="K371" si="240">I371-I370-J371+J370</f>
        <v>-1248.8099999999977</v>
      </c>
      <c r="L371" s="174">
        <f t="shared" si="135"/>
        <v>-3.3390126574785132E-3</v>
      </c>
      <c r="M371" s="618">
        <f t="shared" ref="M371" si="241">I371-J371</f>
        <v>22756.960000000021</v>
      </c>
      <c r="N371" s="256">
        <f t="shared" ref="N371" si="242">M371/J371</f>
        <v>6.5019885714285769E-2</v>
      </c>
      <c r="O371" s="255" t="b">
        <f t="shared" ref="O371" si="243">L371&gt;D371</f>
        <v>0</v>
      </c>
      <c r="P371" s="256">
        <f>COUNTIF(O$2:O371, TRUE)/(COUNTIF(O$2:O371,FALSE) + COUNTIF(O$2:O371, TRUE))</f>
        <v>0.48918918918918919</v>
      </c>
      <c r="Q371" s="254">
        <v>303942.95</v>
      </c>
      <c r="R371" s="254">
        <f t="shared" ref="R371" si="244">I371-Q371</f>
        <v>68814.010000000009</v>
      </c>
      <c r="S371" s="254">
        <v>-28592</v>
      </c>
      <c r="T371" s="254">
        <f t="shared" ref="T371" si="245">M371-S371</f>
        <v>51348.960000000021</v>
      </c>
      <c r="U371" s="256">
        <f>STDEV(D$2:D371)*SQRT(252)</f>
        <v>0.15727771285381495</v>
      </c>
      <c r="V371" s="256">
        <f>STDEV(L$2:L371)*SQRT(252)</f>
        <v>0.34061512766334867</v>
      </c>
      <c r="W371" s="255">
        <f t="shared" ref="W371" si="246">N371/V371</f>
        <v>0.19088960070660457</v>
      </c>
    </row>
    <row r="372" spans="2:23" ht="20.100000000000001" customHeight="1" x14ac:dyDescent="0.25">
      <c r="B372" s="175">
        <v>42800</v>
      </c>
      <c r="C372" s="219">
        <v>2375.31</v>
      </c>
      <c r="D372" s="174">
        <f t="shared" si="218"/>
        <v>-3.2772164221692344E-3</v>
      </c>
      <c r="E372" s="213">
        <f t="shared" ref="E372" si="247">(C372-$C$2)/$C$2</f>
        <v>0.12978729476227616</v>
      </c>
      <c r="F372" s="223">
        <v>5849.17</v>
      </c>
      <c r="G372" s="174">
        <f t="shared" si="220"/>
        <v>-3.6758506153387431E-3</v>
      </c>
      <c r="H372" s="207">
        <f t="shared" ref="H372" si="248">(F372-F$2)/F$2</f>
        <v>0.14876563819549468</v>
      </c>
      <c r="I372" s="225">
        <v>373390.96</v>
      </c>
      <c r="J372" s="176">
        <v>350000</v>
      </c>
      <c r="K372" s="176">
        <f t="shared" ref="K372" si="249">I372-I371-J372+J371</f>
        <v>634</v>
      </c>
      <c r="L372" s="174">
        <f t="shared" si="135"/>
        <v>1.7008401399131487E-3</v>
      </c>
      <c r="M372" s="186">
        <f t="shared" ref="M372" si="250">I372-J372</f>
        <v>23390.960000000021</v>
      </c>
      <c r="N372" s="188">
        <f t="shared" ref="N372" si="251">M372/J372</f>
        <v>6.6831314285714344E-2</v>
      </c>
      <c r="O372" s="186" t="b">
        <f t="shared" ref="O372" si="252">L372&gt;D372</f>
        <v>1</v>
      </c>
      <c r="P372" s="188">
        <f>COUNTIF(O$2:O372, TRUE)/(COUNTIF(O$2:O372,FALSE) + COUNTIF(O$2:O372, TRUE))</f>
        <v>0.49056603773584906</v>
      </c>
      <c r="Q372" s="176">
        <v>304576.95</v>
      </c>
      <c r="R372" s="176">
        <f t="shared" ref="R372" si="253">I372-Q372</f>
        <v>68814.010000000009</v>
      </c>
      <c r="S372" s="176">
        <v>-29562</v>
      </c>
      <c r="T372" s="176">
        <f t="shared" ref="T372" si="254">M372-S372</f>
        <v>52952.960000000021</v>
      </c>
      <c r="U372" s="188">
        <f>STDEV(D$2:D372)*SQRT(252)</f>
        <v>0.15709358659899947</v>
      </c>
      <c r="V372" s="188">
        <f>STDEV(L$2:L372)*SQRT(252)</f>
        <v>0.34015438804580067</v>
      </c>
      <c r="W372" s="186">
        <f t="shared" ref="W372" si="255">N372/V372</f>
        <v>0.19647347391183947</v>
      </c>
    </row>
    <row r="373" spans="2:23" ht="20.100000000000001" customHeight="1" x14ac:dyDescent="0.25">
      <c r="B373" s="175">
        <v>42801</v>
      </c>
      <c r="C373" s="219">
        <v>2368.39</v>
      </c>
      <c r="D373" s="174">
        <f t="shared" si="218"/>
        <v>-2.9133039476952789E-3</v>
      </c>
      <c r="E373" s="213">
        <f t="shared" ref="E373" si="256">(C373-$C$2)/$C$2</f>
        <v>0.12649588097638925</v>
      </c>
      <c r="F373" s="223">
        <v>5833.92</v>
      </c>
      <c r="G373" s="174">
        <f t="shared" si="220"/>
        <v>-2.6072075183316609E-3</v>
      </c>
      <c r="H373" s="207">
        <f t="shared" ref="H373" si="257">(F373-F$2)/F$2</f>
        <v>0.14577056778679032</v>
      </c>
      <c r="I373" s="225">
        <v>368594.91</v>
      </c>
      <c r="J373" s="176">
        <v>350000</v>
      </c>
      <c r="K373" s="176">
        <f t="shared" ref="K373" si="258">I373-I372-J373+J372</f>
        <v>-4796.0500000000466</v>
      </c>
      <c r="L373" s="174">
        <f t="shared" si="135"/>
        <v>-1.2844579847353686E-2</v>
      </c>
      <c r="M373" s="186">
        <f t="shared" ref="M373" si="259">I373-J373</f>
        <v>18594.909999999974</v>
      </c>
      <c r="N373" s="188">
        <f t="shared" ref="N373" si="260">M373/J373</f>
        <v>5.3128314285714212E-2</v>
      </c>
      <c r="O373" s="186" t="b">
        <f t="shared" ref="O373" si="261">L373&gt;D373</f>
        <v>0</v>
      </c>
      <c r="P373" s="188">
        <f>COUNTIF(O$2:O373, TRUE)/(COUNTIF(O$2:O373,FALSE) + COUNTIF(O$2:O373, TRUE))</f>
        <v>0.489247311827957</v>
      </c>
      <c r="Q373" s="176">
        <v>299780.90000000002</v>
      </c>
      <c r="R373" s="176">
        <f t="shared" ref="R373" si="262">I373-Q373</f>
        <v>68814.009999999951</v>
      </c>
      <c r="S373" s="176">
        <v>-31802</v>
      </c>
      <c r="T373" s="176">
        <f t="shared" ref="T373" si="263">M373-S373</f>
        <v>50396.909999999974</v>
      </c>
      <c r="U373" s="188">
        <f>STDEV(D$2:D373)*SQRT(252)</f>
        <v>0.15690461195475305</v>
      </c>
      <c r="V373" s="188">
        <f>STDEV(L$2:L373)*SQRT(252)</f>
        <v>0.3398764241842348</v>
      </c>
      <c r="W373" s="186">
        <f t="shared" ref="W373" si="264">N373/V373</f>
        <v>0.15631656244834227</v>
      </c>
    </row>
    <row r="374" spans="2:23" ht="20.100000000000001" customHeight="1" x14ac:dyDescent="0.25">
      <c r="B374" s="175">
        <v>42802</v>
      </c>
      <c r="C374" s="219">
        <v>2369.39</v>
      </c>
      <c r="D374" s="174">
        <f t="shared" si="218"/>
        <v>4.2222775809727285E-4</v>
      </c>
      <c r="E374" s="213">
        <f t="shared" ref="E374" si="265">(C374-$C$2)/$C$2</f>
        <v>0.12697151880671972</v>
      </c>
      <c r="F374" s="223">
        <v>5834.92</v>
      </c>
      <c r="G374" s="174">
        <f t="shared" si="220"/>
        <v>1.7141133234600405E-4</v>
      </c>
      <c r="H374" s="207">
        <f t="shared" ref="H374" si="266">(F374-F$2)/F$2</f>
        <v>0.1459669658463775</v>
      </c>
      <c r="I374" s="225">
        <v>359694.56</v>
      </c>
      <c r="J374" s="176">
        <v>350000</v>
      </c>
      <c r="K374" s="176">
        <f t="shared" ref="K374" si="267">I374-I373-J374+J373</f>
        <v>-8900.3499999999767</v>
      </c>
      <c r="L374" s="174">
        <f t="shared" si="135"/>
        <v>-2.4146698064821288E-2</v>
      </c>
      <c r="M374" s="186">
        <f t="shared" ref="M374" si="268">I374-J374</f>
        <v>9694.5599999999977</v>
      </c>
      <c r="N374" s="188">
        <f t="shared" ref="N374" si="269">M374/J374</f>
        <v>2.7698742857142852E-2</v>
      </c>
      <c r="O374" s="186" t="b">
        <f t="shared" ref="O374" si="270">L374&gt;D374</f>
        <v>0</v>
      </c>
      <c r="P374" s="188">
        <f>COUNTIF(O$2:O374, TRUE)/(COUNTIF(O$2:O374,FALSE) + COUNTIF(O$2:O374, TRUE))</f>
        <v>0.48793565683646112</v>
      </c>
      <c r="Q374" s="176">
        <v>301406.55</v>
      </c>
      <c r="R374" s="176">
        <f t="shared" ref="R374" si="271">I374-Q374</f>
        <v>58288.010000000009</v>
      </c>
      <c r="S374" s="176">
        <v>-32022</v>
      </c>
      <c r="T374" s="176">
        <f t="shared" ref="T374" si="272">M374-S374</f>
        <v>41716.559999999998</v>
      </c>
      <c r="U374" s="188">
        <f>STDEV(D$2:D374)*SQRT(252)</f>
        <v>0.1566930134881471</v>
      </c>
      <c r="V374" s="188">
        <f>STDEV(L$2:L374)*SQRT(252)</f>
        <v>0.34002930219024635</v>
      </c>
      <c r="W374" s="186">
        <f t="shared" ref="W374" si="273">N374/V374</f>
        <v>8.1459870307428406E-2</v>
      </c>
    </row>
    <row r="375" spans="2:23" ht="20.100000000000001" customHeight="1" x14ac:dyDescent="0.25">
      <c r="B375" s="175">
        <v>42803</v>
      </c>
      <c r="C375" s="219">
        <v>2364.87</v>
      </c>
      <c r="D375" s="174">
        <f t="shared" ref="D375" si="274">(C375-C374)/C374</f>
        <v>-1.9076639979066267E-3</v>
      </c>
      <c r="E375" s="213">
        <f t="shared" ref="E375" si="275">(C375-$C$2)/$C$2</f>
        <v>0.12482163581362599</v>
      </c>
      <c r="F375" s="223">
        <v>5838.8</v>
      </c>
      <c r="G375" s="174">
        <f t="shared" ref="G375" si="276">(F375-F374)/F374</f>
        <v>6.6496198748228067E-4</v>
      </c>
      <c r="H375" s="207">
        <f t="shared" ref="H375" si="277">(F375-F$2)/F$2</f>
        <v>0.14672899031757575</v>
      </c>
      <c r="I375" s="225">
        <v>368952.54</v>
      </c>
      <c r="J375" s="176">
        <v>350000</v>
      </c>
      <c r="K375" s="176">
        <f t="shared" ref="K375" si="278">I375-I374-J375+J374</f>
        <v>9257.9799999999814</v>
      </c>
      <c r="L375" s="174">
        <f t="shared" ref="L375" si="279">K375/I374</f>
        <v>2.573844875496583E-2</v>
      </c>
      <c r="M375" s="186">
        <f t="shared" ref="M375" si="280">I375-J375</f>
        <v>18952.539999999979</v>
      </c>
      <c r="N375" s="188">
        <f t="shared" ref="N375" si="281">M375/J375</f>
        <v>5.4150114285714229E-2</v>
      </c>
      <c r="O375" s="186" t="b">
        <f t="shared" ref="O375" si="282">L375&gt;D375</f>
        <v>1</v>
      </c>
      <c r="P375" s="188">
        <f>COUNTIF(O$2:O375, TRUE)/(COUNTIF(O$2:O375,FALSE) + COUNTIF(O$2:O375, TRUE))</f>
        <v>0.48930481283422461</v>
      </c>
      <c r="Q375" s="176">
        <v>279646.25</v>
      </c>
      <c r="R375" s="176">
        <f t="shared" ref="R375" si="283">I375-Q375</f>
        <v>89306.289999999979</v>
      </c>
      <c r="S375" s="176">
        <v>-32329</v>
      </c>
      <c r="T375" s="176">
        <f t="shared" ref="T375" si="284">M375-S375</f>
        <v>51281.539999999979</v>
      </c>
      <c r="U375" s="188">
        <f>STDEV(D$2:D375)*SQRT(252)</f>
        <v>0.15649345994634845</v>
      </c>
      <c r="V375" s="188">
        <f>STDEV(L$2:L375)*SQRT(252)</f>
        <v>0.34020267972894408</v>
      </c>
      <c r="W375" s="186">
        <f t="shared" ref="W375" si="285">N375/V375</f>
        <v>0.1591701580036296</v>
      </c>
    </row>
    <row r="376" spans="2:23" ht="20.100000000000001" customHeight="1" x14ac:dyDescent="0.25">
      <c r="B376" s="175">
        <v>42804</v>
      </c>
      <c r="C376" s="219">
        <v>2372.6</v>
      </c>
      <c r="D376" s="174">
        <f t="shared" ref="D376" si="286">(C376-C375)/C375</f>
        <v>3.2686786165835834E-3</v>
      </c>
      <c r="E376" s="213">
        <f t="shared" ref="E376" si="287">(C376-$C$2)/$C$2</f>
        <v>0.12849831624208055</v>
      </c>
      <c r="F376" s="223">
        <v>5861.72</v>
      </c>
      <c r="G376" s="174">
        <f t="shared" ref="G376" si="288">(F376-F375)/F375</f>
        <v>3.9254641364664094E-3</v>
      </c>
      <c r="H376" s="207">
        <f t="shared" ref="H376" si="289">(F376-F$2)/F$2</f>
        <v>0.15123043384331372</v>
      </c>
      <c r="I376" s="225">
        <v>319727.84000000003</v>
      </c>
      <c r="J376" s="176">
        <v>300000</v>
      </c>
      <c r="K376" s="176">
        <f t="shared" ref="K376" si="290">I376-I375-J376+J375</f>
        <v>775.30000000004657</v>
      </c>
      <c r="L376" s="174">
        <f t="shared" ref="L376" si="291">K376/I375</f>
        <v>2.1013542825861738E-3</v>
      </c>
      <c r="M376" s="186">
        <f t="shared" ref="M376" si="292">I376-J376</f>
        <v>19727.840000000026</v>
      </c>
      <c r="N376" s="188">
        <f t="shared" ref="N376" si="293">M376/J376</f>
        <v>6.5759466666666752E-2</v>
      </c>
      <c r="O376" s="186" t="b">
        <f t="shared" ref="O376" si="294">L376&gt;D376</f>
        <v>0</v>
      </c>
      <c r="P376" s="188">
        <f>COUNTIF(O$2:O376, TRUE)/(COUNTIF(O$2:O376,FALSE) + COUNTIF(O$2:O376, TRUE))</f>
        <v>0.48799999999999999</v>
      </c>
      <c r="Q376" s="176">
        <v>269279.3</v>
      </c>
      <c r="R376" s="176">
        <f t="shared" ref="R376" si="295">I376-Q376</f>
        <v>50448.540000000037</v>
      </c>
      <c r="S376" s="176">
        <v>-32569</v>
      </c>
      <c r="T376" s="176">
        <f t="shared" ref="T376" si="296">M376-S376</f>
        <v>52296.840000000026</v>
      </c>
      <c r="U376" s="188">
        <f>STDEV(D$2:D376)*SQRT(252)</f>
        <v>0.15630173237062933</v>
      </c>
      <c r="V376" s="188">
        <f>STDEV(L$2:L376)*SQRT(252)</f>
        <v>0.33974852992336052</v>
      </c>
      <c r="W376" s="186">
        <f t="shared" ref="W376" si="297">N376/V376</f>
        <v>0.19355335159654871</v>
      </c>
    </row>
  </sheetData>
  <conditionalFormatting sqref="D3:D376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76">
    <cfRule type="colorScale" priority="25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76">
    <cfRule type="colorScale" priority="25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76">
    <cfRule type="colorScale" priority="32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77:L1048576">
    <cfRule type="colorScale" priority="54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42797</v>
      </c>
      <c r="X2" s="10">
        <v>293.12</v>
      </c>
      <c r="Y2" s="10">
        <v>298</v>
      </c>
      <c r="Z2" s="10">
        <v>293.12</v>
      </c>
      <c r="AA2" s="10">
        <v>297.85000000000002</v>
      </c>
      <c r="AB2" s="94">
        <v>1170700</v>
      </c>
      <c r="AC2" s="10">
        <v>297.85000000000002</v>
      </c>
      <c r="AD2" s="2">
        <f>Y2-Z2</f>
        <v>4.8799999999999955</v>
      </c>
      <c r="AE2" s="137">
        <f>AC2/AC3-1</f>
        <v>1.4510030995606327E-2</v>
      </c>
    </row>
    <row r="3" spans="1:40" x14ac:dyDescent="0.25">
      <c r="A3" s="23" t="s">
        <v>71</v>
      </c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292.24</v>
      </c>
      <c r="W3" s="132">
        <v>42796</v>
      </c>
      <c r="X3" s="10">
        <v>293.64</v>
      </c>
      <c r="Y3" s="10">
        <v>296.93</v>
      </c>
      <c r="Z3" s="10">
        <v>291</v>
      </c>
      <c r="AA3" s="10">
        <v>293.58999999999997</v>
      </c>
      <c r="AB3" s="94">
        <v>1279600</v>
      </c>
      <c r="AC3" s="10">
        <v>293.58999999999997</v>
      </c>
      <c r="AD3" s="2">
        <f t="shared" ref="AD3:AD66" si="0">Y3-Z3</f>
        <v>5.9300000000000068</v>
      </c>
      <c r="AE3" s="137">
        <f t="shared" ref="AE3:AE66" si="1">AC3/AC4-1</f>
        <v>1.1252813203299628E-3</v>
      </c>
      <c r="AG3" s="1"/>
      <c r="AK3" s="233"/>
      <c r="AN3" s="233"/>
    </row>
    <row r="4" spans="1:40" x14ac:dyDescent="0.25">
      <c r="G4" s="73"/>
      <c r="H4" s="184"/>
      <c r="I4" s="3"/>
      <c r="J4" s="3"/>
      <c r="K4" s="3"/>
      <c r="L4" s="4"/>
      <c r="O4" s="11" t="s">
        <v>66</v>
      </c>
      <c r="Q4" s="55">
        <v>292.24</v>
      </c>
      <c r="R4" s="517">
        <v>-2.8E-3</v>
      </c>
      <c r="T4" s="1"/>
      <c r="W4" s="132">
        <v>42795</v>
      </c>
      <c r="X4" s="10">
        <v>290.07</v>
      </c>
      <c r="Y4" s="10">
        <v>294.17</v>
      </c>
      <c r="Z4" s="10">
        <v>289.14</v>
      </c>
      <c r="AA4" s="10">
        <v>293.26</v>
      </c>
      <c r="AB4" s="94">
        <v>1312700</v>
      </c>
      <c r="AC4" s="10">
        <v>293.26</v>
      </c>
      <c r="AD4" s="2">
        <f t="shared" si="0"/>
        <v>5.0300000000000296</v>
      </c>
      <c r="AE4" s="137">
        <f t="shared" si="1"/>
        <v>1.6146916146916102E-2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42794</v>
      </c>
      <c r="X5" s="10">
        <v>290.13</v>
      </c>
      <c r="Y5" s="10">
        <v>291.42</v>
      </c>
      <c r="Z5" s="10">
        <v>287.19</v>
      </c>
      <c r="AA5" s="10">
        <v>288.60000000000002</v>
      </c>
      <c r="AB5" s="94">
        <v>1246300</v>
      </c>
      <c r="AC5" s="10">
        <v>288.60000000000002</v>
      </c>
      <c r="AD5" s="2">
        <f t="shared" si="0"/>
        <v>4.2300000000000182</v>
      </c>
      <c r="AE5" s="137">
        <f t="shared" si="1"/>
        <v>-8.6902758217977105E-3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42793</v>
      </c>
      <c r="X6" s="10">
        <v>285.39</v>
      </c>
      <c r="Y6" s="10">
        <v>291.25</v>
      </c>
      <c r="Z6" s="10">
        <v>284.27</v>
      </c>
      <c r="AA6" s="10">
        <v>291.13</v>
      </c>
      <c r="AB6" s="94">
        <v>1290300</v>
      </c>
      <c r="AC6" s="10">
        <v>291.13</v>
      </c>
      <c r="AD6" s="2">
        <f t="shared" si="0"/>
        <v>6.9800000000000182</v>
      </c>
      <c r="AE6" s="137">
        <f t="shared" si="1"/>
        <v>2.1043033002489997E-2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42790</v>
      </c>
      <c r="X7" s="10">
        <v>285.01</v>
      </c>
      <c r="Y7" s="10">
        <v>285.81</v>
      </c>
      <c r="Z7" s="10">
        <v>266</v>
      </c>
      <c r="AA7" s="10">
        <v>285.13</v>
      </c>
      <c r="AB7" s="94">
        <v>1763600</v>
      </c>
      <c r="AC7" s="10">
        <v>285.13</v>
      </c>
      <c r="AD7" s="2">
        <f t="shared" si="0"/>
        <v>19.810000000000002</v>
      </c>
      <c r="AE7" s="137">
        <f t="shared" si="1"/>
        <v>1.3345039508341205E-3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42789</v>
      </c>
      <c r="X8" s="10">
        <v>287.75</v>
      </c>
      <c r="Y8" s="10">
        <v>288.11</v>
      </c>
      <c r="Z8" s="10">
        <v>283.36</v>
      </c>
      <c r="AA8" s="10">
        <v>284.75</v>
      </c>
      <c r="AB8" s="94">
        <v>1409800</v>
      </c>
      <c r="AC8" s="10">
        <v>284.75</v>
      </c>
      <c r="AD8" s="2">
        <f t="shared" si="0"/>
        <v>4.75</v>
      </c>
      <c r="AE8" s="137">
        <f t="shared" si="1"/>
        <v>-1.0012863748565803E-2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42788</v>
      </c>
      <c r="X9" s="10">
        <v>287.75</v>
      </c>
      <c r="Y9" s="10">
        <v>289.43</v>
      </c>
      <c r="Z9" s="10">
        <v>285.22000000000003</v>
      </c>
      <c r="AA9" s="10">
        <v>287.63</v>
      </c>
      <c r="AB9" s="94">
        <v>1043800</v>
      </c>
      <c r="AC9" s="10">
        <v>287.63</v>
      </c>
      <c r="AD9" s="2">
        <f t="shared" si="0"/>
        <v>4.2099999999999795</v>
      </c>
      <c r="AE9" s="137">
        <f t="shared" si="1"/>
        <v>2.5444405716277263E-3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42787</v>
      </c>
      <c r="X10" s="10">
        <v>289.16000000000003</v>
      </c>
      <c r="Y10" s="10">
        <v>289.91000000000003</v>
      </c>
      <c r="Z10" s="10">
        <v>286.22000000000003</v>
      </c>
      <c r="AA10" s="10">
        <v>286.89999999999998</v>
      </c>
      <c r="AB10" s="94">
        <v>1465400</v>
      </c>
      <c r="AC10" s="10">
        <v>286.89999999999998</v>
      </c>
      <c r="AD10" s="2">
        <f t="shared" si="0"/>
        <v>3.6899999999999977</v>
      </c>
      <c r="AE10" s="137">
        <f t="shared" si="1"/>
        <v>-7.0602893334257288E-3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290</v>
      </c>
      <c r="Y11" s="10">
        <v>291.89999999999998</v>
      </c>
      <c r="Z11" s="10">
        <v>287.76</v>
      </c>
      <c r="AA11" s="10">
        <v>288.94</v>
      </c>
      <c r="AB11" s="94">
        <v>1978500</v>
      </c>
      <c r="AC11" s="10">
        <v>288.94</v>
      </c>
      <c r="AD11" s="2">
        <f t="shared" si="0"/>
        <v>4.1399999999999864</v>
      </c>
      <c r="AE11" s="137">
        <f t="shared" si="1"/>
        <v>-4.1016096232723287E-3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42782</v>
      </c>
      <c r="X12" s="10">
        <v>292.5</v>
      </c>
      <c r="Y12" s="10">
        <v>293.98</v>
      </c>
      <c r="Z12" s="10">
        <v>287.76</v>
      </c>
      <c r="AA12" s="10">
        <v>290.13</v>
      </c>
      <c r="AB12" s="94">
        <v>1824700</v>
      </c>
      <c r="AC12" s="10">
        <v>290.13</v>
      </c>
      <c r="AD12" s="2">
        <f t="shared" si="0"/>
        <v>6.2200000000000273</v>
      </c>
      <c r="AE12" s="137">
        <f t="shared" si="1"/>
        <v>-8.5770913067249044E-3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42781</v>
      </c>
      <c r="X13" s="10">
        <v>284.57</v>
      </c>
      <c r="Y13" s="10">
        <v>292.89</v>
      </c>
      <c r="Z13" s="10">
        <v>284.24</v>
      </c>
      <c r="AA13" s="10">
        <v>292.64</v>
      </c>
      <c r="AB13" s="94">
        <v>2553700</v>
      </c>
      <c r="AC13" s="10">
        <v>292.64</v>
      </c>
      <c r="AD13" s="2">
        <f t="shared" si="0"/>
        <v>8.6499999999999773</v>
      </c>
      <c r="AE13" s="137">
        <f t="shared" si="1"/>
        <v>2.6302868766220122E-2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42780</v>
      </c>
      <c r="X14" s="10">
        <v>279.86</v>
      </c>
      <c r="Y14" s="10">
        <v>286.06</v>
      </c>
      <c r="Z14" s="10">
        <v>279.01</v>
      </c>
      <c r="AA14" s="10">
        <v>285.14</v>
      </c>
      <c r="AB14" s="94">
        <v>2402800</v>
      </c>
      <c r="AC14" s="10">
        <v>285.14</v>
      </c>
      <c r="AD14" s="2">
        <f t="shared" si="0"/>
        <v>7.0500000000000114</v>
      </c>
      <c r="AE14" s="137">
        <f t="shared" si="1"/>
        <v>2.2336954573159762E-2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42779</v>
      </c>
      <c r="X15" s="10">
        <v>276.27999999999997</v>
      </c>
      <c r="Y15" s="10">
        <v>279.76</v>
      </c>
      <c r="Z15" s="10">
        <v>275.16000000000003</v>
      </c>
      <c r="AA15" s="10">
        <v>278.91000000000003</v>
      </c>
      <c r="AB15" s="94">
        <v>1786900</v>
      </c>
      <c r="AC15" s="10">
        <v>278.91000000000003</v>
      </c>
      <c r="AD15" s="2">
        <f t="shared" si="0"/>
        <v>4.5999999999999659</v>
      </c>
      <c r="AE15" s="137">
        <f t="shared" si="1"/>
        <v>1.5104090842917639E-2</v>
      </c>
    </row>
    <row r="16" spans="1:40" x14ac:dyDescent="0.25">
      <c r="G16" s="1"/>
      <c r="W16" s="132">
        <v>42776</v>
      </c>
      <c r="X16" s="10">
        <v>270.68</v>
      </c>
      <c r="Y16" s="10">
        <v>276.41000000000003</v>
      </c>
      <c r="Z16" s="10">
        <v>269.98</v>
      </c>
      <c r="AA16" s="10">
        <v>274.76</v>
      </c>
      <c r="AB16" s="94">
        <v>1648900</v>
      </c>
      <c r="AC16" s="10">
        <v>274.76</v>
      </c>
      <c r="AD16" s="2">
        <f t="shared" si="0"/>
        <v>6.4300000000000068</v>
      </c>
      <c r="AE16" s="137">
        <f t="shared" si="1"/>
        <v>1.5973968347877454E-2</v>
      </c>
    </row>
    <row r="17" spans="1:31" x14ac:dyDescent="0.25">
      <c r="G17" s="1"/>
      <c r="W17" s="132">
        <v>42775</v>
      </c>
      <c r="X17" s="10">
        <v>268.24</v>
      </c>
      <c r="Y17" s="10">
        <v>271.16000000000003</v>
      </c>
      <c r="Z17" s="10">
        <v>267.74</v>
      </c>
      <c r="AA17" s="10">
        <v>270.44</v>
      </c>
      <c r="AB17" s="94">
        <v>1399100</v>
      </c>
      <c r="AC17" s="10">
        <v>270.44</v>
      </c>
      <c r="AD17" s="2">
        <f t="shared" si="0"/>
        <v>3.4200000000000159</v>
      </c>
      <c r="AE17" s="137">
        <f t="shared" si="1"/>
        <v>6.3258167745776639E-3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42774</v>
      </c>
      <c r="X18" s="10">
        <v>265.43</v>
      </c>
      <c r="Y18" s="10">
        <v>269.01</v>
      </c>
      <c r="Z18" s="10">
        <v>265.43</v>
      </c>
      <c r="AA18" s="10">
        <v>268.74</v>
      </c>
      <c r="AB18" s="94">
        <v>1907200</v>
      </c>
      <c r="AC18" s="10">
        <v>268.74</v>
      </c>
      <c r="AD18" s="2">
        <f t="shared" si="0"/>
        <v>3.5799999999999841</v>
      </c>
      <c r="AE18" s="137">
        <f t="shared" si="1"/>
        <v>9.8831310360376623E-3</v>
      </c>
    </row>
    <row r="19" spans="1:31" x14ac:dyDescent="0.25">
      <c r="N19" s="2"/>
      <c r="W19" s="132">
        <v>42773</v>
      </c>
      <c r="X19" s="10">
        <v>269.47000000000003</v>
      </c>
      <c r="Y19" s="10">
        <v>269.67</v>
      </c>
      <c r="Z19" s="10">
        <v>264.56</v>
      </c>
      <c r="AA19" s="10">
        <v>266.11</v>
      </c>
      <c r="AB19" s="94">
        <v>1539100</v>
      </c>
      <c r="AC19" s="10">
        <v>266.11</v>
      </c>
      <c r="AD19" s="2">
        <f t="shared" si="0"/>
        <v>5.1100000000000136</v>
      </c>
      <c r="AE19" s="137">
        <f t="shared" si="1"/>
        <v>4.5298403231286422E-3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42772</v>
      </c>
      <c r="X20" s="10">
        <v>264.45999999999998</v>
      </c>
      <c r="Y20" s="10">
        <v>265.73</v>
      </c>
      <c r="Z20" s="10">
        <v>263.18</v>
      </c>
      <c r="AA20" s="10">
        <v>264.91000000000003</v>
      </c>
      <c r="AB20" s="94">
        <v>1609600</v>
      </c>
      <c r="AC20" s="10">
        <v>264.91000000000003</v>
      </c>
      <c r="AD20" s="2">
        <f t="shared" si="0"/>
        <v>2.5500000000000114</v>
      </c>
      <c r="AE20" s="137">
        <f t="shared" si="1"/>
        <v>9.0678958703294121E-4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42769</v>
      </c>
      <c r="X21" s="10">
        <v>264.98</v>
      </c>
      <c r="Y21" s="10">
        <v>266</v>
      </c>
      <c r="Z21" s="10">
        <v>261.76</v>
      </c>
      <c r="AA21" s="10">
        <v>264.67</v>
      </c>
      <c r="AB21" s="94">
        <v>1533400</v>
      </c>
      <c r="AC21" s="10">
        <v>264.67</v>
      </c>
      <c r="AD21" s="2">
        <f t="shared" si="0"/>
        <v>4.2400000000000091</v>
      </c>
      <c r="AE21" s="137">
        <f t="shared" si="1"/>
        <v>1.665215910381157E-3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42768</v>
      </c>
      <c r="X22" s="10">
        <v>263.76</v>
      </c>
      <c r="Y22" s="10">
        <v>264.52</v>
      </c>
      <c r="Z22" s="10">
        <v>260.5</v>
      </c>
      <c r="AA22" s="10">
        <v>264.23</v>
      </c>
      <c r="AB22" s="94">
        <v>2728300</v>
      </c>
      <c r="AC22" s="10">
        <v>264.23</v>
      </c>
      <c r="AD22" s="2">
        <f t="shared" si="0"/>
        <v>4.0199999999999818</v>
      </c>
      <c r="AE22" s="137">
        <f t="shared" si="1"/>
        <v>-6.1983030991515475E-2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42767</v>
      </c>
      <c r="X23" s="10">
        <v>278.98</v>
      </c>
      <c r="Y23" s="10">
        <v>282.07</v>
      </c>
      <c r="Z23" s="10">
        <v>277.51</v>
      </c>
      <c r="AA23" s="10">
        <v>281.69</v>
      </c>
      <c r="AB23" s="94">
        <v>1697600</v>
      </c>
      <c r="AC23" s="10">
        <v>281.69</v>
      </c>
      <c r="AD23" s="2">
        <f t="shared" si="0"/>
        <v>4.5600000000000023</v>
      </c>
      <c r="AE23" s="137">
        <f t="shared" si="1"/>
        <v>1.6051074880969463E-2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42766</v>
      </c>
      <c r="X24" s="10">
        <v>275.01</v>
      </c>
      <c r="Y24" s="10">
        <v>278</v>
      </c>
      <c r="Z24" s="10">
        <v>271.89999999999998</v>
      </c>
      <c r="AA24" s="10">
        <v>277.24</v>
      </c>
      <c r="AB24" s="94">
        <v>1854500</v>
      </c>
      <c r="AC24" s="10">
        <v>277.24</v>
      </c>
      <c r="AD24" s="2">
        <f t="shared" si="0"/>
        <v>6.1000000000000227</v>
      </c>
      <c r="AE24" s="137">
        <f t="shared" si="1"/>
        <v>4.2744330942547926E-3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42765</v>
      </c>
      <c r="X25" s="10">
        <v>278.27</v>
      </c>
      <c r="Y25" s="10">
        <v>278.89999999999998</v>
      </c>
      <c r="Z25" s="10">
        <v>274.22000000000003</v>
      </c>
      <c r="AA25" s="10">
        <v>276.06</v>
      </c>
      <c r="AB25" s="94">
        <v>1297900</v>
      </c>
      <c r="AC25" s="10">
        <v>276.06</v>
      </c>
      <c r="AD25" s="2">
        <f t="shared" si="0"/>
        <v>4.67999999999995</v>
      </c>
      <c r="AE25" s="137">
        <f t="shared" si="1"/>
        <v>-7.7279752704790816E-3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42762</v>
      </c>
      <c r="X26" s="10">
        <v>280.45999999999998</v>
      </c>
      <c r="Y26" s="10">
        <v>281.98</v>
      </c>
      <c r="Z26" s="10">
        <v>277.29000000000002</v>
      </c>
      <c r="AA26" s="10">
        <v>278.20999999999998</v>
      </c>
      <c r="AB26" s="94">
        <v>1334600</v>
      </c>
      <c r="AC26" s="10">
        <v>278.20999999999998</v>
      </c>
      <c r="AD26" s="2">
        <f t="shared" si="0"/>
        <v>4.6899999999999977</v>
      </c>
      <c r="AE26" s="137">
        <f t="shared" si="1"/>
        <v>-2.4382372978594136E-3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42761</v>
      </c>
      <c r="X27" s="10">
        <v>278</v>
      </c>
      <c r="Y27" s="10">
        <v>285.77999999999997</v>
      </c>
      <c r="Z27" s="10">
        <v>277</v>
      </c>
      <c r="AA27" s="10">
        <v>278.89</v>
      </c>
      <c r="AB27" s="94">
        <v>2417200</v>
      </c>
      <c r="AC27" s="10">
        <v>278.89</v>
      </c>
      <c r="AD27" s="2">
        <f t="shared" si="0"/>
        <v>8.7799999999999727</v>
      </c>
      <c r="AE27" s="137">
        <f t="shared" si="1"/>
        <v>2.0677792416922802E-2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42760</v>
      </c>
      <c r="X28" s="10">
        <v>274.54000000000002</v>
      </c>
      <c r="Y28" s="10">
        <v>277.77999999999997</v>
      </c>
      <c r="Z28" s="10">
        <v>271.43</v>
      </c>
      <c r="AA28" s="10">
        <v>273.24</v>
      </c>
      <c r="AB28" s="94">
        <v>2506100</v>
      </c>
      <c r="AC28" s="10">
        <v>273.24</v>
      </c>
      <c r="AD28" s="2">
        <f t="shared" si="0"/>
        <v>6.3499999999999659</v>
      </c>
      <c r="AE28" s="137">
        <f t="shared" si="1"/>
        <v>-2.1181798261631357E-3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42759</v>
      </c>
      <c r="X29" s="10">
        <v>275.74</v>
      </c>
      <c r="Y29" s="10">
        <v>278.39999999999998</v>
      </c>
      <c r="Z29" s="10">
        <v>271.47000000000003</v>
      </c>
      <c r="AA29" s="10">
        <v>273.82</v>
      </c>
      <c r="AB29" s="94">
        <v>1942600</v>
      </c>
      <c r="AC29" s="10">
        <v>273.82</v>
      </c>
      <c r="AD29" s="2">
        <f t="shared" si="0"/>
        <v>6.92999999999995</v>
      </c>
      <c r="AE29" s="137">
        <f t="shared" si="1"/>
        <v>-7.9704369248604356E-3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42758</v>
      </c>
      <c r="X30" s="10">
        <v>280.35000000000002</v>
      </c>
      <c r="Y30" s="10">
        <v>282.72000000000003</v>
      </c>
      <c r="Z30" s="10">
        <v>275.49</v>
      </c>
      <c r="AA30" s="10">
        <v>276.02</v>
      </c>
      <c r="AB30" s="94">
        <v>1849800</v>
      </c>
      <c r="AC30" s="10">
        <v>276.02</v>
      </c>
      <c r="AD30" s="2">
        <f t="shared" si="0"/>
        <v>7.2300000000000182</v>
      </c>
      <c r="AE30" s="137">
        <f t="shared" si="1"/>
        <v>-1.6532459203306593E-2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42755</v>
      </c>
      <c r="X31" s="10">
        <v>282.07</v>
      </c>
      <c r="Y31" s="10">
        <v>282.56</v>
      </c>
      <c r="Z31" s="10">
        <v>279.41000000000003</v>
      </c>
      <c r="AA31" s="10">
        <v>280.66000000000003</v>
      </c>
      <c r="AB31" s="94">
        <v>1949400</v>
      </c>
      <c r="AC31" s="10">
        <v>280.66000000000003</v>
      </c>
      <c r="AD31" s="2">
        <f t="shared" si="0"/>
        <v>3.1499999999999773</v>
      </c>
      <c r="AE31" s="137">
        <f t="shared" si="1"/>
        <v>1.1057606563225075E-3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42754</v>
      </c>
      <c r="X32" s="10">
        <v>282.74</v>
      </c>
      <c r="Y32" s="10">
        <v>284.83999999999997</v>
      </c>
      <c r="Z32" s="10">
        <v>279.23</v>
      </c>
      <c r="AA32" s="10">
        <v>280.35000000000002</v>
      </c>
      <c r="AB32" s="94">
        <v>1384600</v>
      </c>
      <c r="AC32" s="10">
        <v>280.35000000000002</v>
      </c>
      <c r="AD32" s="2">
        <f t="shared" si="0"/>
        <v>5.6099999999999568</v>
      </c>
      <c r="AE32" s="137">
        <f t="shared" si="1"/>
        <v>-1.1494658157328641E-2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42753</v>
      </c>
      <c r="X33" s="10">
        <v>284.79000000000002</v>
      </c>
      <c r="Y33" s="10">
        <v>286.16000000000003</v>
      </c>
      <c r="Z33" s="10">
        <v>282.87</v>
      </c>
      <c r="AA33" s="10">
        <v>283.61</v>
      </c>
      <c r="AB33" s="94">
        <v>1074300</v>
      </c>
      <c r="AC33" s="10">
        <v>283.61</v>
      </c>
      <c r="AD33" s="2">
        <f t="shared" si="0"/>
        <v>3.2900000000000205</v>
      </c>
      <c r="AE33" s="137">
        <f t="shared" si="1"/>
        <v>2.1200664287481796E-3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42752</v>
      </c>
      <c r="X34" s="10">
        <v>284.27999999999997</v>
      </c>
      <c r="Y34" s="10">
        <v>286.35000000000002</v>
      </c>
      <c r="Z34" s="10">
        <v>281.08</v>
      </c>
      <c r="AA34" s="10">
        <v>283.01</v>
      </c>
      <c r="AB34" s="94">
        <v>1966100</v>
      </c>
      <c r="AC34" s="10">
        <v>283.01</v>
      </c>
      <c r="AD34" s="2">
        <f t="shared" si="0"/>
        <v>5.2700000000000387</v>
      </c>
      <c r="AE34" s="137">
        <f t="shared" si="1"/>
        <v>-6.1106233538191779E-3</v>
      </c>
    </row>
    <row r="35" spans="1:31" x14ac:dyDescent="0.25">
      <c r="B35" s="10"/>
      <c r="C35" s="10"/>
      <c r="D35" s="40"/>
      <c r="E35" s="40"/>
      <c r="F35" s="40"/>
      <c r="G35" s="40"/>
      <c r="H35" s="231"/>
      <c r="I35" s="231"/>
      <c r="W35" s="132">
        <v>42748</v>
      </c>
      <c r="X35" s="10">
        <v>288.07</v>
      </c>
      <c r="Y35" s="10">
        <v>289.86</v>
      </c>
      <c r="Z35" s="10">
        <v>284.25</v>
      </c>
      <c r="AA35" s="10">
        <v>284.75</v>
      </c>
      <c r="AB35" s="94">
        <v>1691700</v>
      </c>
      <c r="AC35" s="10">
        <v>284.75</v>
      </c>
      <c r="AD35" s="2">
        <f t="shared" si="0"/>
        <v>5.6100000000000136</v>
      </c>
      <c r="AE35" s="137">
        <f t="shared" si="1"/>
        <v>-1.0494492129130895E-2</v>
      </c>
    </row>
    <row r="36" spans="1:31" x14ac:dyDescent="0.25">
      <c r="W36" s="132">
        <v>42747</v>
      </c>
      <c r="X36" s="10">
        <v>286.61</v>
      </c>
      <c r="Y36" s="10">
        <v>288.99</v>
      </c>
      <c r="Z36" s="10">
        <v>285.04000000000002</v>
      </c>
      <c r="AA36" s="10">
        <v>287.77</v>
      </c>
      <c r="AB36" s="94">
        <v>1353100</v>
      </c>
      <c r="AC36" s="10">
        <v>287.77</v>
      </c>
      <c r="AD36" s="2">
        <f t="shared" si="0"/>
        <v>3.9499999999999886</v>
      </c>
      <c r="AE36" s="137">
        <f t="shared" si="1"/>
        <v>2.2987705060777408E-3</v>
      </c>
    </row>
    <row r="37" spans="1:31" x14ac:dyDescent="0.25">
      <c r="W37" s="132">
        <v>42746</v>
      </c>
      <c r="X37" s="10">
        <v>296.95</v>
      </c>
      <c r="Y37" s="10">
        <v>297.89999999999998</v>
      </c>
      <c r="Z37" s="10">
        <v>285</v>
      </c>
      <c r="AA37" s="10">
        <v>287.11</v>
      </c>
      <c r="AB37" s="94">
        <v>2442600</v>
      </c>
      <c r="AC37" s="10">
        <v>287.11</v>
      </c>
      <c r="AD37" s="2">
        <f t="shared" si="0"/>
        <v>12.899999999999977</v>
      </c>
      <c r="AE37" s="137">
        <f t="shared" si="1"/>
        <v>-3.5864199603747648E-2</v>
      </c>
    </row>
    <row r="38" spans="1:31" x14ac:dyDescent="0.25">
      <c r="W38" s="132">
        <v>42745</v>
      </c>
      <c r="X38" s="10">
        <v>300.42</v>
      </c>
      <c r="Y38" s="10">
        <v>301.42</v>
      </c>
      <c r="Z38" s="10">
        <v>296.43</v>
      </c>
      <c r="AA38" s="10">
        <v>297.79000000000002</v>
      </c>
      <c r="AB38" s="94">
        <v>1399700</v>
      </c>
      <c r="AC38" s="10">
        <v>297.79000000000002</v>
      </c>
      <c r="AD38" s="2">
        <f t="shared" si="0"/>
        <v>4.9900000000000091</v>
      </c>
      <c r="AE38" s="137">
        <f t="shared" si="1"/>
        <v>-4.1134372282789489E-3</v>
      </c>
    </row>
    <row r="39" spans="1:31" x14ac:dyDescent="0.25">
      <c r="A39" s="260"/>
      <c r="B39" s="260"/>
      <c r="C39" s="260"/>
      <c r="D39" s="261"/>
      <c r="E39" s="261"/>
      <c r="F39" s="261"/>
      <c r="G39" s="260"/>
      <c r="H39" s="260"/>
      <c r="I39" s="260"/>
      <c r="J39" s="260"/>
      <c r="K39" s="262" t="s">
        <v>131</v>
      </c>
      <c r="L39" s="260"/>
      <c r="M39" s="261">
        <f>K57+M57-F57</f>
        <v>1659.3600000000079</v>
      </c>
      <c r="W39" s="132">
        <v>42744</v>
      </c>
      <c r="X39" s="10">
        <v>295.39</v>
      </c>
      <c r="Y39" s="10">
        <v>300</v>
      </c>
      <c r="Z39" s="10">
        <v>294.41000000000003</v>
      </c>
      <c r="AA39" s="10">
        <v>299.02</v>
      </c>
      <c r="AB39" s="94">
        <v>1429100</v>
      </c>
      <c r="AC39" s="10">
        <v>299.02</v>
      </c>
      <c r="AD39" s="2">
        <f t="shared" si="0"/>
        <v>5.589999999999975</v>
      </c>
      <c r="AE39" s="137">
        <f t="shared" si="1"/>
        <v>1.3627118644067737E-2</v>
      </c>
    </row>
    <row r="40" spans="1:31" x14ac:dyDescent="0.25">
      <c r="A40" s="262" t="s">
        <v>1</v>
      </c>
      <c r="B40" s="262" t="s">
        <v>2</v>
      </c>
      <c r="C40" s="262" t="s">
        <v>4</v>
      </c>
      <c r="D40" s="263" t="s">
        <v>5</v>
      </c>
      <c r="E40" s="263" t="s">
        <v>94</v>
      </c>
      <c r="F40" s="263" t="s">
        <v>60</v>
      </c>
      <c r="G40" s="262" t="s">
        <v>3</v>
      </c>
      <c r="H40" s="262" t="s">
        <v>6</v>
      </c>
      <c r="I40" s="262" t="s">
        <v>7</v>
      </c>
      <c r="J40" s="262" t="s">
        <v>95</v>
      </c>
      <c r="K40" s="263" t="s">
        <v>61</v>
      </c>
      <c r="L40" s="262" t="s">
        <v>77</v>
      </c>
      <c r="M40" s="262" t="s">
        <v>38</v>
      </c>
      <c r="W40" s="132">
        <v>42741</v>
      </c>
      <c r="X40" s="10">
        <v>294.58999999999997</v>
      </c>
      <c r="Y40" s="10">
        <v>296.41000000000003</v>
      </c>
      <c r="Z40" s="10">
        <v>292.39</v>
      </c>
      <c r="AA40" s="10">
        <v>295</v>
      </c>
      <c r="AB40" s="94">
        <v>1077900</v>
      </c>
      <c r="AC40" s="10">
        <v>295</v>
      </c>
      <c r="AD40" s="2">
        <f t="shared" si="0"/>
        <v>4.0200000000000387</v>
      </c>
      <c r="AE40" s="137">
        <f t="shared" si="1"/>
        <v>4.8710699322138673E-3</v>
      </c>
    </row>
    <row r="41" spans="1:31" x14ac:dyDescent="0.25">
      <c r="A41" s="264" t="s">
        <v>62</v>
      </c>
      <c r="B41" s="265">
        <v>42222</v>
      </c>
      <c r="C41" s="260">
        <v>5</v>
      </c>
      <c r="D41" s="261">
        <v>320</v>
      </c>
      <c r="E41" s="261">
        <v>0</v>
      </c>
      <c r="F41" s="261">
        <f>C41*D41 + E41</f>
        <v>1600</v>
      </c>
      <c r="G41" s="265">
        <v>42257</v>
      </c>
      <c r="H41" s="266">
        <v>5</v>
      </c>
      <c r="I41" s="261">
        <v>303.60000000000002</v>
      </c>
      <c r="J41" s="261">
        <v>0.03</v>
      </c>
      <c r="K41" s="261">
        <f t="shared" ref="K41:K48" si="3">H41*I41-J41</f>
        <v>1517.97</v>
      </c>
      <c r="L41" s="260" t="s">
        <v>80</v>
      </c>
      <c r="M41" s="260"/>
      <c r="W41" s="132">
        <v>42740</v>
      </c>
      <c r="X41" s="10">
        <v>294.81</v>
      </c>
      <c r="Y41" s="10">
        <v>296.32</v>
      </c>
      <c r="Z41" s="10">
        <v>292.22000000000003</v>
      </c>
      <c r="AA41" s="10">
        <v>293.57</v>
      </c>
      <c r="AB41" s="94">
        <v>1144200</v>
      </c>
      <c r="AC41" s="10">
        <v>293.57</v>
      </c>
      <c r="AD41" s="2">
        <f t="shared" si="0"/>
        <v>4.0999999999999659</v>
      </c>
      <c r="AE41" s="137">
        <f t="shared" si="1"/>
        <v>-1.6323754463527518E-3</v>
      </c>
    </row>
    <row r="42" spans="1:31" ht="20.25" thickBot="1" x14ac:dyDescent="0.35">
      <c r="A42" s="267"/>
      <c r="B42" s="265">
        <v>42247</v>
      </c>
      <c r="C42" s="260">
        <v>5</v>
      </c>
      <c r="D42" s="261">
        <v>298.7</v>
      </c>
      <c r="E42" s="261">
        <v>0</v>
      </c>
      <c r="F42" s="261">
        <f>C42*D42 + E42</f>
        <v>1493.5</v>
      </c>
      <c r="G42" s="265">
        <v>42290</v>
      </c>
      <c r="H42" s="266">
        <v>5</v>
      </c>
      <c r="I42" s="261">
        <v>280.2</v>
      </c>
      <c r="J42" s="261">
        <v>0.03</v>
      </c>
      <c r="K42" s="261">
        <f t="shared" si="3"/>
        <v>1400.97</v>
      </c>
      <c r="L42" s="260"/>
      <c r="M42" s="260"/>
      <c r="O42" s="703" t="s">
        <v>78</v>
      </c>
      <c r="P42" s="703"/>
      <c r="T42" s="111" t="s">
        <v>113</v>
      </c>
      <c r="U42" s="4"/>
      <c r="W42" s="132">
        <v>42739</v>
      </c>
      <c r="X42" s="10">
        <v>291.58999999999997</v>
      </c>
      <c r="Y42" s="10">
        <v>296.83</v>
      </c>
      <c r="Z42" s="10">
        <v>290.04000000000002</v>
      </c>
      <c r="AA42" s="10">
        <v>294.05</v>
      </c>
      <c r="AB42" s="94">
        <v>1262600</v>
      </c>
      <c r="AC42" s="10">
        <v>294.05</v>
      </c>
      <c r="AD42" s="2">
        <f t="shared" si="0"/>
        <v>6.7899999999999636</v>
      </c>
      <c r="AE42" s="137">
        <f t="shared" si="1"/>
        <v>8.0216653525762016E-3</v>
      </c>
    </row>
    <row r="43" spans="1:31" ht="15.75" thickTop="1" x14ac:dyDescent="0.25">
      <c r="A43" s="260"/>
      <c r="B43" s="265">
        <v>42271</v>
      </c>
      <c r="C43" s="260">
        <v>10</v>
      </c>
      <c r="D43" s="261">
        <v>297</v>
      </c>
      <c r="E43" s="261">
        <v>0</v>
      </c>
      <c r="F43" s="261">
        <f>C43*D43 + E43</f>
        <v>2970</v>
      </c>
      <c r="G43" s="265">
        <v>42303</v>
      </c>
      <c r="H43" s="266">
        <v>10</v>
      </c>
      <c r="I43" s="261">
        <v>290</v>
      </c>
      <c r="J43" s="261">
        <v>0.05</v>
      </c>
      <c r="K43" s="261">
        <f t="shared" si="3"/>
        <v>2899.95</v>
      </c>
      <c r="L43" s="260"/>
      <c r="M43" s="260"/>
      <c r="O43" s="82">
        <v>1.1000000000000001</v>
      </c>
      <c r="P43" s="82">
        <f>O43*$Q$4</f>
        <v>321.46400000000006</v>
      </c>
      <c r="Q43" s="2"/>
      <c r="T43" s="428" t="s">
        <v>98</v>
      </c>
      <c r="U43" s="494">
        <v>293.58999999999997</v>
      </c>
      <c r="W43" s="132">
        <v>42738</v>
      </c>
      <c r="X43" s="10">
        <v>285.82</v>
      </c>
      <c r="Y43" s="10">
        <v>293.2</v>
      </c>
      <c r="Z43" s="10">
        <v>284.86</v>
      </c>
      <c r="AA43" s="10">
        <v>291.70999999999998</v>
      </c>
      <c r="AB43" s="94">
        <v>1736800</v>
      </c>
      <c r="AC43" s="10">
        <v>291.70999999999998</v>
      </c>
      <c r="AD43" s="2">
        <f t="shared" si="0"/>
        <v>8.339999999999975</v>
      </c>
      <c r="AE43" s="137">
        <f t="shared" si="1"/>
        <v>2.8669158614852863E-2</v>
      </c>
    </row>
    <row r="44" spans="1:31" x14ac:dyDescent="0.25">
      <c r="A44" s="260"/>
      <c r="B44" s="265">
        <v>42285</v>
      </c>
      <c r="C44" s="260">
        <v>15</v>
      </c>
      <c r="D44" s="261">
        <v>283</v>
      </c>
      <c r="E44" s="261">
        <v>0</v>
      </c>
      <c r="F44" s="261">
        <f t="shared" ref="F44:F53" si="4">C44*D44 + E44</f>
        <v>4245</v>
      </c>
      <c r="G44" s="265">
        <v>42307</v>
      </c>
      <c r="H44" s="266">
        <v>10</v>
      </c>
      <c r="I44" s="261">
        <v>289.35000000000002</v>
      </c>
      <c r="J44" s="261">
        <v>7</v>
      </c>
      <c r="K44" s="261">
        <f t="shared" si="3"/>
        <v>2886.5</v>
      </c>
      <c r="L44" s="260"/>
      <c r="M44" s="260"/>
      <c r="O44" s="82">
        <v>1.0900000000000001</v>
      </c>
      <c r="P44" s="82">
        <f t="shared" ref="P44:P63" si="5">O44*$Q$4</f>
        <v>318.54160000000002</v>
      </c>
      <c r="Q44" s="2"/>
      <c r="T44" s="428" t="s">
        <v>99</v>
      </c>
      <c r="U44" s="494">
        <v>293.12</v>
      </c>
      <c r="W44" s="132">
        <v>42734</v>
      </c>
      <c r="X44" s="10">
        <v>287.79000000000002</v>
      </c>
      <c r="Y44" s="10">
        <v>288.56</v>
      </c>
      <c r="Z44" s="10">
        <v>282.64</v>
      </c>
      <c r="AA44" s="10">
        <v>283.58</v>
      </c>
      <c r="AB44" s="94">
        <v>1315200</v>
      </c>
      <c r="AC44" s="10">
        <v>283.58</v>
      </c>
      <c r="AD44" s="2">
        <f t="shared" si="0"/>
        <v>5.9200000000000159</v>
      </c>
      <c r="AE44" s="137">
        <f t="shared" si="1"/>
        <v>-1.201964951398804E-2</v>
      </c>
    </row>
    <row r="45" spans="1:31" x14ac:dyDescent="0.25">
      <c r="A45" s="260"/>
      <c r="B45" s="352">
        <v>42286</v>
      </c>
      <c r="C45" s="260">
        <v>5</v>
      </c>
      <c r="D45" s="261">
        <v>278.5</v>
      </c>
      <c r="E45" s="261">
        <v>0</v>
      </c>
      <c r="F45" s="261">
        <f t="shared" si="4"/>
        <v>1392.5</v>
      </c>
      <c r="G45" s="265">
        <v>42313</v>
      </c>
      <c r="H45" s="266">
        <v>10</v>
      </c>
      <c r="I45" s="261">
        <v>300</v>
      </c>
      <c r="J45" s="261">
        <v>0.06</v>
      </c>
      <c r="K45" s="261">
        <f t="shared" si="3"/>
        <v>2999.94</v>
      </c>
      <c r="L45" s="260"/>
      <c r="M45" s="260"/>
      <c r="O45" s="82">
        <v>1.08</v>
      </c>
      <c r="P45" s="82">
        <f t="shared" si="5"/>
        <v>315.61920000000003</v>
      </c>
      <c r="Q45" s="2"/>
      <c r="T45" s="428" t="s">
        <v>100</v>
      </c>
      <c r="U45" s="494" t="s">
        <v>584</v>
      </c>
      <c r="W45" s="132">
        <v>42733</v>
      </c>
      <c r="X45" s="10">
        <v>288.95999999999998</v>
      </c>
      <c r="Y45" s="10">
        <v>290.41000000000003</v>
      </c>
      <c r="Z45" s="10">
        <v>285.23</v>
      </c>
      <c r="AA45" s="10">
        <v>287.02999999999997</v>
      </c>
      <c r="AB45" s="94">
        <v>1119800</v>
      </c>
      <c r="AC45" s="10">
        <v>287.02999999999997</v>
      </c>
      <c r="AD45" s="2">
        <f t="shared" si="0"/>
        <v>5.1800000000000068</v>
      </c>
      <c r="AE45" s="137">
        <f t="shared" si="1"/>
        <v>-7.6750216076060251E-3</v>
      </c>
    </row>
    <row r="46" spans="1:31" x14ac:dyDescent="0.25">
      <c r="A46" s="260"/>
      <c r="B46" s="352"/>
      <c r="C46" s="260">
        <v>5</v>
      </c>
      <c r="D46" s="261">
        <v>278.5</v>
      </c>
      <c r="E46" s="261">
        <v>0</v>
      </c>
      <c r="F46" s="261">
        <f t="shared" si="4"/>
        <v>1392.5</v>
      </c>
      <c r="G46" s="265">
        <v>42331</v>
      </c>
      <c r="H46" s="266">
        <v>40</v>
      </c>
      <c r="I46" s="261">
        <v>287.99</v>
      </c>
      <c r="J46" s="261">
        <v>0.21</v>
      </c>
      <c r="K46" s="261">
        <f t="shared" si="3"/>
        <v>11519.390000000001</v>
      </c>
      <c r="L46" s="260"/>
      <c r="M46" s="260"/>
      <c r="O46" s="82">
        <v>1.07</v>
      </c>
      <c r="P46" s="82">
        <f t="shared" si="5"/>
        <v>312.69680000000005</v>
      </c>
      <c r="Q46" s="2"/>
      <c r="T46" s="428" t="s">
        <v>101</v>
      </c>
      <c r="U46" s="494" t="s">
        <v>585</v>
      </c>
      <c r="W46" s="132">
        <v>42732</v>
      </c>
      <c r="X46" s="10">
        <v>291.99</v>
      </c>
      <c r="Y46" s="10">
        <v>292.11</v>
      </c>
      <c r="Z46" s="10">
        <v>288.5</v>
      </c>
      <c r="AA46" s="10">
        <v>289.25</v>
      </c>
      <c r="AB46" s="94">
        <v>1020900</v>
      </c>
      <c r="AC46" s="10">
        <v>289.25</v>
      </c>
      <c r="AD46" s="2">
        <f t="shared" si="0"/>
        <v>3.6100000000000136</v>
      </c>
      <c r="AE46" s="137">
        <f t="shared" si="1"/>
        <v>-6.4234679857103627E-3</v>
      </c>
    </row>
    <row r="47" spans="1:31" x14ac:dyDescent="0.25">
      <c r="A47" s="260"/>
      <c r="B47" s="265">
        <v>42286</v>
      </c>
      <c r="C47" s="260">
        <v>10</v>
      </c>
      <c r="D47" s="261">
        <v>274</v>
      </c>
      <c r="E47" s="261">
        <v>0</v>
      </c>
      <c r="F47" s="261">
        <f t="shared" si="4"/>
        <v>2740</v>
      </c>
      <c r="G47" s="265">
        <v>42347</v>
      </c>
      <c r="H47" s="266">
        <v>35</v>
      </c>
      <c r="I47" s="261">
        <v>282.99</v>
      </c>
      <c r="J47" s="261">
        <v>0.18</v>
      </c>
      <c r="K47" s="261">
        <f t="shared" si="3"/>
        <v>9904.4699999999993</v>
      </c>
      <c r="L47" s="260"/>
      <c r="M47" s="260"/>
      <c r="O47" s="82">
        <v>1.06</v>
      </c>
      <c r="P47" s="82">
        <f t="shared" si="5"/>
        <v>309.77440000000001</v>
      </c>
      <c r="Q47" s="2"/>
      <c r="T47" s="428" t="s">
        <v>102</v>
      </c>
      <c r="U47" s="494">
        <v>322.99</v>
      </c>
      <c r="W47" s="132">
        <v>42731</v>
      </c>
      <c r="X47" s="10">
        <v>295.17</v>
      </c>
      <c r="Y47" s="10">
        <v>296.38</v>
      </c>
      <c r="Z47" s="10">
        <v>290.75</v>
      </c>
      <c r="AA47" s="10">
        <v>291.12</v>
      </c>
      <c r="AB47" s="94">
        <v>1439200</v>
      </c>
      <c r="AC47" s="10">
        <v>291.12</v>
      </c>
      <c r="AD47" s="2">
        <f t="shared" si="0"/>
        <v>5.6299999999999955</v>
      </c>
      <c r="AE47" s="137">
        <f t="shared" si="1"/>
        <v>1.248565367092147E-2</v>
      </c>
    </row>
    <row r="48" spans="1:31" x14ac:dyDescent="0.25">
      <c r="A48" s="260"/>
      <c r="B48" s="265">
        <v>42286</v>
      </c>
      <c r="C48" s="260">
        <v>10</v>
      </c>
      <c r="D48" s="261">
        <v>269.8</v>
      </c>
      <c r="E48" s="261">
        <v>0</v>
      </c>
      <c r="F48" s="261">
        <f t="shared" si="4"/>
        <v>2698</v>
      </c>
      <c r="G48" s="265">
        <v>42359</v>
      </c>
      <c r="H48" s="266">
        <v>25</v>
      </c>
      <c r="I48" s="261">
        <v>295</v>
      </c>
      <c r="J48" s="261">
        <v>0.14000000000000001</v>
      </c>
      <c r="K48" s="261">
        <f t="shared" si="3"/>
        <v>7374.86</v>
      </c>
      <c r="L48" s="260"/>
      <c r="M48" s="260"/>
      <c r="O48" s="82">
        <v>1.05</v>
      </c>
      <c r="P48" s="82">
        <f t="shared" si="5"/>
        <v>306.85200000000003</v>
      </c>
      <c r="Q48" s="2"/>
      <c r="T48" s="428" t="s">
        <v>103</v>
      </c>
      <c r="U48" s="494">
        <v>0.50315299999999996</v>
      </c>
      <c r="W48" s="132">
        <v>42727</v>
      </c>
      <c r="X48" s="10">
        <v>283.05</v>
      </c>
      <c r="Y48" s="10">
        <v>288.38</v>
      </c>
      <c r="Z48" s="10">
        <v>281.81</v>
      </c>
      <c r="AA48" s="10">
        <v>287.52999999999997</v>
      </c>
      <c r="AB48" s="94">
        <v>1110500</v>
      </c>
      <c r="AC48" s="10">
        <v>287.52999999999997</v>
      </c>
      <c r="AD48" s="2">
        <f t="shared" si="0"/>
        <v>6.5699999999999932</v>
      </c>
      <c r="AE48" s="137">
        <f t="shared" si="1"/>
        <v>1.5755820115165742E-2</v>
      </c>
    </row>
    <row r="49" spans="1:31" x14ac:dyDescent="0.25">
      <c r="A49" s="260"/>
      <c r="B49" s="265">
        <v>42292</v>
      </c>
      <c r="C49" s="260">
        <v>25</v>
      </c>
      <c r="D49" s="261">
        <v>268.5</v>
      </c>
      <c r="E49" s="261">
        <v>0</v>
      </c>
      <c r="F49" s="261">
        <f t="shared" si="4"/>
        <v>6712.5</v>
      </c>
      <c r="G49" s="265">
        <v>42447</v>
      </c>
      <c r="H49" s="266">
        <v>5</v>
      </c>
      <c r="I49" s="261">
        <v>249.59</v>
      </c>
      <c r="J49" s="261">
        <v>0.03</v>
      </c>
      <c r="K49" s="261">
        <v>1247.92</v>
      </c>
      <c r="L49" s="260"/>
      <c r="M49" s="260"/>
      <c r="O49" s="82">
        <v>1.04</v>
      </c>
      <c r="P49" s="82">
        <f t="shared" si="5"/>
        <v>303.92959999999999</v>
      </c>
      <c r="Q49" s="2"/>
      <c r="T49" s="428" t="s">
        <v>122</v>
      </c>
      <c r="U49" s="494" t="s">
        <v>415</v>
      </c>
      <c r="W49" s="132">
        <v>42726</v>
      </c>
      <c r="X49" s="10">
        <v>281.83</v>
      </c>
      <c r="Y49" s="10">
        <v>283.17</v>
      </c>
      <c r="Z49" s="10">
        <v>280.02</v>
      </c>
      <c r="AA49" s="10">
        <v>283.07</v>
      </c>
      <c r="AB49" s="94">
        <v>1035100</v>
      </c>
      <c r="AC49" s="10">
        <v>283.07</v>
      </c>
      <c r="AD49" s="2">
        <f t="shared" si="0"/>
        <v>3.1500000000000341</v>
      </c>
      <c r="AE49" s="137">
        <f t="shared" si="1"/>
        <v>-1.4128783864930661E-4</v>
      </c>
    </row>
    <row r="50" spans="1:31" x14ac:dyDescent="0.25">
      <c r="A50" s="260"/>
      <c r="B50" s="265">
        <v>42293</v>
      </c>
      <c r="C50" s="260">
        <v>10</v>
      </c>
      <c r="D50" s="261">
        <v>262.25</v>
      </c>
      <c r="E50" s="261">
        <v>0</v>
      </c>
      <c r="F50" s="261">
        <f t="shared" si="4"/>
        <v>2622.5</v>
      </c>
      <c r="G50" s="265">
        <v>42460</v>
      </c>
      <c r="H50" s="266">
        <v>5</v>
      </c>
      <c r="I50" s="261">
        <v>261.22000000000003</v>
      </c>
      <c r="J50" s="261">
        <v>0.03</v>
      </c>
      <c r="K50" s="261">
        <v>1306.0700000000002</v>
      </c>
      <c r="L50" s="260"/>
      <c r="M50" s="260"/>
      <c r="O50" s="82">
        <v>1.03</v>
      </c>
      <c r="P50" s="82">
        <f t="shared" si="5"/>
        <v>301.00720000000001</v>
      </c>
      <c r="Q50" s="2"/>
      <c r="T50" s="428"/>
      <c r="U50" s="494"/>
      <c r="W50" s="132">
        <v>42725</v>
      </c>
      <c r="X50" s="10">
        <v>285.06</v>
      </c>
      <c r="Y50" s="10">
        <v>285.64999999999998</v>
      </c>
      <c r="Z50" s="10">
        <v>281</v>
      </c>
      <c r="AA50" s="10">
        <v>283.11</v>
      </c>
      <c r="AB50" s="94">
        <v>1370000</v>
      </c>
      <c r="AC50" s="10">
        <v>283.11</v>
      </c>
      <c r="AD50" s="2">
        <f t="shared" si="0"/>
        <v>4.6499999999999773</v>
      </c>
      <c r="AE50" s="137">
        <f t="shared" si="1"/>
        <v>-8.6837774431876014E-3</v>
      </c>
    </row>
    <row r="51" spans="1:31" x14ac:dyDescent="0.25">
      <c r="A51" s="260"/>
      <c r="B51" s="265">
        <v>42293</v>
      </c>
      <c r="C51" s="260">
        <v>10</v>
      </c>
      <c r="D51" s="261">
        <v>255.4</v>
      </c>
      <c r="E51" s="261">
        <v>0</v>
      </c>
      <c r="F51" s="261">
        <f t="shared" si="4"/>
        <v>2554</v>
      </c>
      <c r="G51" s="265">
        <v>42482</v>
      </c>
      <c r="H51" s="266">
        <v>5</v>
      </c>
      <c r="I51" s="261">
        <v>282.95</v>
      </c>
      <c r="J51" s="261">
        <v>0.03</v>
      </c>
      <c r="K51" s="261">
        <v>1414.72</v>
      </c>
      <c r="L51" s="260"/>
      <c r="M51" s="260"/>
      <c r="O51" s="82">
        <v>1.02</v>
      </c>
      <c r="P51" s="82">
        <f t="shared" si="5"/>
        <v>298.08480000000003</v>
      </c>
      <c r="Q51" s="2"/>
      <c r="T51" s="428" t="s">
        <v>105</v>
      </c>
      <c r="U51" s="494" t="s">
        <v>586</v>
      </c>
      <c r="W51" s="132">
        <v>42724</v>
      </c>
      <c r="X51" s="10">
        <v>280.98</v>
      </c>
      <c r="Y51" s="10">
        <v>286.67</v>
      </c>
      <c r="Z51" s="10">
        <v>279.13</v>
      </c>
      <c r="AA51" s="10">
        <v>285.58999999999997</v>
      </c>
      <c r="AB51" s="94">
        <v>2194500</v>
      </c>
      <c r="AC51" s="10">
        <v>285.58999999999997</v>
      </c>
      <c r="AD51" s="2">
        <f t="shared" si="0"/>
        <v>7.5400000000000205</v>
      </c>
      <c r="AE51" s="137">
        <f t="shared" si="1"/>
        <v>2.4464612404491159E-2</v>
      </c>
    </row>
    <row r="52" spans="1:31" x14ac:dyDescent="0.25">
      <c r="A52" s="260"/>
      <c r="B52" s="265">
        <v>42314</v>
      </c>
      <c r="C52" s="260">
        <v>10</v>
      </c>
      <c r="D52" s="261">
        <v>298.81</v>
      </c>
      <c r="E52" s="261">
        <v>0</v>
      </c>
      <c r="F52" s="261">
        <f t="shared" si="4"/>
        <v>2988.1</v>
      </c>
      <c r="G52" s="265"/>
      <c r="H52" s="260"/>
      <c r="I52" s="261"/>
      <c r="J52" s="260"/>
      <c r="K52" s="261"/>
      <c r="L52" s="260"/>
      <c r="M52" s="260"/>
      <c r="O52" s="82">
        <v>1.01</v>
      </c>
      <c r="P52" s="82">
        <f t="shared" si="5"/>
        <v>295.16239999999999</v>
      </c>
      <c r="Q52" s="2"/>
      <c r="T52" s="428" t="s">
        <v>106</v>
      </c>
      <c r="U52" s="494" t="s">
        <v>264</v>
      </c>
      <c r="W52" s="132">
        <v>42723</v>
      </c>
      <c r="X52" s="10">
        <v>286.58999999999997</v>
      </c>
      <c r="Y52" s="10">
        <v>290.51</v>
      </c>
      <c r="Z52" s="10">
        <v>272.95999999999998</v>
      </c>
      <c r="AA52" s="10">
        <v>278.77</v>
      </c>
      <c r="AB52" s="94">
        <v>2471300</v>
      </c>
      <c r="AC52" s="10">
        <v>278.77</v>
      </c>
      <c r="AD52" s="2">
        <f t="shared" si="0"/>
        <v>17.550000000000011</v>
      </c>
      <c r="AE52" s="137">
        <f t="shared" si="1"/>
        <v>-2.6641061452513992E-2</v>
      </c>
    </row>
    <row r="53" spans="1:31" x14ac:dyDescent="0.25">
      <c r="A53" s="260"/>
      <c r="B53" s="265">
        <v>42341</v>
      </c>
      <c r="C53" s="260">
        <v>20</v>
      </c>
      <c r="D53" s="261">
        <v>286.08999999999997</v>
      </c>
      <c r="E53" s="261">
        <v>0</v>
      </c>
      <c r="F53" s="261">
        <f t="shared" si="4"/>
        <v>5721.7999999999993</v>
      </c>
      <c r="G53" s="265"/>
      <c r="H53" s="260"/>
      <c r="I53" s="260"/>
      <c r="J53" s="260"/>
      <c r="K53" s="261"/>
      <c r="L53" s="260"/>
      <c r="M53" s="260"/>
      <c r="O53" s="82">
        <v>1</v>
      </c>
      <c r="P53" s="82">
        <f t="shared" si="5"/>
        <v>292.24</v>
      </c>
      <c r="Q53" s="2"/>
      <c r="T53" s="428" t="s">
        <v>107</v>
      </c>
      <c r="U53" s="495">
        <v>1170895</v>
      </c>
      <c r="W53" s="132">
        <v>42720</v>
      </c>
      <c r="X53" s="10">
        <v>287.62</v>
      </c>
      <c r="Y53" s="10">
        <v>289.08999999999997</v>
      </c>
      <c r="Z53" s="10">
        <v>286</v>
      </c>
      <c r="AA53" s="10">
        <v>286.39999999999998</v>
      </c>
      <c r="AB53" s="94">
        <v>2264700</v>
      </c>
      <c r="AC53" s="10">
        <v>286.39999999999998</v>
      </c>
      <c r="AD53" s="2">
        <f t="shared" si="0"/>
        <v>3.089999999999975</v>
      </c>
      <c r="AE53" s="137">
        <f t="shared" si="1"/>
        <v>-1.986270341847729E-3</v>
      </c>
    </row>
    <row r="54" spans="1:31" x14ac:dyDescent="0.25">
      <c r="A54" s="260"/>
      <c r="B54" s="265">
        <v>42408</v>
      </c>
      <c r="C54" s="260">
        <v>5</v>
      </c>
      <c r="D54" s="261">
        <v>251.5</v>
      </c>
      <c r="E54" s="261">
        <v>0</v>
      </c>
      <c r="F54" s="261">
        <f>C54*D54 + E54</f>
        <v>1257.5</v>
      </c>
      <c r="G54" s="265"/>
      <c r="H54" s="260"/>
      <c r="I54" s="260"/>
      <c r="J54" s="260"/>
      <c r="K54" s="261"/>
      <c r="L54" s="260"/>
      <c r="M54" s="260"/>
      <c r="O54" s="82">
        <v>0.99</v>
      </c>
      <c r="P54" s="82">
        <f t="shared" si="5"/>
        <v>289.31760000000003</v>
      </c>
      <c r="Q54" s="2"/>
      <c r="T54" s="428" t="s">
        <v>110</v>
      </c>
      <c r="U54" s="495">
        <v>1781340</v>
      </c>
      <c r="W54" s="132">
        <v>42719</v>
      </c>
      <c r="X54" s="10">
        <v>287.16000000000003</v>
      </c>
      <c r="Y54" s="10">
        <v>288.52999999999997</v>
      </c>
      <c r="Z54" s="10">
        <v>285.02</v>
      </c>
      <c r="AA54" s="10">
        <v>286.97000000000003</v>
      </c>
      <c r="AB54" s="94">
        <v>1699600</v>
      </c>
      <c r="AC54" s="10">
        <v>286.97000000000003</v>
      </c>
      <c r="AD54" s="2">
        <f t="shared" si="0"/>
        <v>3.5099999999999909</v>
      </c>
      <c r="AE54" s="137">
        <f t="shared" si="1"/>
        <v>2.5152838427948687E-3</v>
      </c>
    </row>
    <row r="55" spans="1:31" x14ac:dyDescent="0.25">
      <c r="A55" s="260"/>
      <c r="B55" s="265">
        <v>42446</v>
      </c>
      <c r="C55" s="260">
        <v>5</v>
      </c>
      <c r="D55" s="261">
        <v>242.55</v>
      </c>
      <c r="E55" s="261">
        <v>0</v>
      </c>
      <c r="F55" s="261">
        <f>C55*D55 + E55</f>
        <v>1212.75</v>
      </c>
      <c r="G55" s="265"/>
      <c r="H55" s="260"/>
      <c r="I55" s="260"/>
      <c r="J55" s="260"/>
      <c r="K55" s="261"/>
      <c r="L55" s="260"/>
      <c r="M55" s="260"/>
      <c r="O55" s="82">
        <v>0.98</v>
      </c>
      <c r="P55" s="82">
        <f t="shared" si="5"/>
        <v>286.39519999999999</v>
      </c>
      <c r="Q55" s="2"/>
      <c r="T55" s="428" t="s">
        <v>108</v>
      </c>
      <c r="U55" s="494" t="s">
        <v>587</v>
      </c>
      <c r="W55" s="132">
        <v>42718</v>
      </c>
      <c r="X55" s="10">
        <v>288.20999999999998</v>
      </c>
      <c r="Y55" s="10">
        <v>289.95999999999998</v>
      </c>
      <c r="Z55" s="10">
        <v>285.24</v>
      </c>
      <c r="AA55" s="10">
        <v>286.25</v>
      </c>
      <c r="AB55" s="94">
        <v>1271500</v>
      </c>
      <c r="AC55" s="10">
        <v>286.25</v>
      </c>
      <c r="AD55" s="2">
        <f t="shared" si="0"/>
        <v>4.7199999999999704</v>
      </c>
      <c r="AE55" s="137">
        <f t="shared" si="1"/>
        <v>-3.9320759969377894E-3</v>
      </c>
    </row>
    <row r="56" spans="1:31" x14ac:dyDescent="0.25">
      <c r="A56" s="260"/>
      <c r="B56" s="265"/>
      <c r="C56" s="260">
        <v>5</v>
      </c>
      <c r="D56" s="261">
        <v>242.55</v>
      </c>
      <c r="E56" s="261">
        <v>0</v>
      </c>
      <c r="F56" s="261">
        <f>C56*D56 + E56</f>
        <v>1212.75</v>
      </c>
      <c r="G56" s="265"/>
      <c r="H56" s="260"/>
      <c r="I56" s="260"/>
      <c r="J56" s="260"/>
      <c r="K56" s="261"/>
      <c r="L56" s="260"/>
      <c r="M56" s="260"/>
      <c r="O56" s="82">
        <v>0.97</v>
      </c>
      <c r="P56" s="82">
        <f t="shared" si="5"/>
        <v>283.47280000000001</v>
      </c>
      <c r="T56" s="428" t="s">
        <v>111</v>
      </c>
      <c r="U56" s="494">
        <v>17.59</v>
      </c>
      <c r="W56" s="132">
        <v>42717</v>
      </c>
      <c r="X56" s="10">
        <v>286.75</v>
      </c>
      <c r="Y56" s="10">
        <v>289.5</v>
      </c>
      <c r="Z56" s="10">
        <v>284.81</v>
      </c>
      <c r="AA56" s="10">
        <v>287.38</v>
      </c>
      <c r="AB56" s="94">
        <v>1578200</v>
      </c>
      <c r="AC56" s="10">
        <v>287.38</v>
      </c>
      <c r="AD56" s="2">
        <f t="shared" si="0"/>
        <v>4.6899999999999977</v>
      </c>
      <c r="AE56" s="137">
        <f t="shared" si="1"/>
        <v>3.1065656741944281E-3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280.55040000000002</v>
      </c>
      <c r="T57" s="428" t="s">
        <v>112</v>
      </c>
      <c r="U57" s="494">
        <v>16.93</v>
      </c>
      <c r="W57" s="132">
        <v>42716</v>
      </c>
      <c r="X57" s="10">
        <v>289.2</v>
      </c>
      <c r="Y57" s="10">
        <v>290.95</v>
      </c>
      <c r="Z57" s="10">
        <v>284.07</v>
      </c>
      <c r="AA57" s="10">
        <v>286.49</v>
      </c>
      <c r="AB57" s="94">
        <v>1769100</v>
      </c>
      <c r="AC57" s="10">
        <v>286.49</v>
      </c>
      <c r="AD57" s="2">
        <f t="shared" si="0"/>
        <v>6.8799999999999955</v>
      </c>
      <c r="AE57" s="137">
        <f t="shared" si="1"/>
        <v>-4.4479966640024182E-3</v>
      </c>
    </row>
    <row r="58" spans="1:31" x14ac:dyDescent="0.25">
      <c r="O58" s="82">
        <v>0.95</v>
      </c>
      <c r="P58" s="82">
        <f t="shared" si="5"/>
        <v>277.62799999999999</v>
      </c>
      <c r="T58" s="428" t="s">
        <v>109</v>
      </c>
      <c r="U58" s="494" t="s">
        <v>123</v>
      </c>
      <c r="W58" s="132">
        <v>42713</v>
      </c>
      <c r="X58" s="10">
        <v>305.24</v>
      </c>
      <c r="Y58" s="10">
        <v>306.98</v>
      </c>
      <c r="Z58" s="10">
        <v>281.79000000000002</v>
      </c>
      <c r="AA58" s="10">
        <v>287.77</v>
      </c>
      <c r="AB58" s="94">
        <v>6247700</v>
      </c>
      <c r="AC58" s="10">
        <v>287.77</v>
      </c>
      <c r="AD58" s="2">
        <f t="shared" si="0"/>
        <v>25.189999999999998</v>
      </c>
      <c r="AE58" s="137">
        <f t="shared" si="1"/>
        <v>-6.1131449886027145E-3</v>
      </c>
    </row>
    <row r="59" spans="1:31" x14ac:dyDescent="0.25">
      <c r="O59" s="82">
        <v>0.94</v>
      </c>
      <c r="P59" s="82">
        <f t="shared" si="5"/>
        <v>274.7056</v>
      </c>
      <c r="W59" s="132">
        <v>42712</v>
      </c>
      <c r="X59" s="10">
        <v>285.8</v>
      </c>
      <c r="Y59" s="10">
        <v>292.97000000000003</v>
      </c>
      <c r="Z59" s="10">
        <v>278.58</v>
      </c>
      <c r="AA59" s="10">
        <v>289.54000000000002</v>
      </c>
      <c r="AB59" s="94">
        <v>4750600</v>
      </c>
      <c r="AC59" s="10">
        <v>289.54000000000002</v>
      </c>
      <c r="AD59" s="2">
        <f t="shared" si="0"/>
        <v>14.390000000000043</v>
      </c>
      <c r="AE59" s="137">
        <f t="shared" si="1"/>
        <v>1.4861549246407257E-2</v>
      </c>
    </row>
    <row r="60" spans="1:31" x14ac:dyDescent="0.25">
      <c r="B60" s="268" t="s">
        <v>114</v>
      </c>
      <c r="C60" s="268" t="s">
        <v>147</v>
      </c>
      <c r="D60" s="269" t="s">
        <v>146</v>
      </c>
      <c r="E60" s="270" t="s">
        <v>148</v>
      </c>
      <c r="F60" s="271" t="s">
        <v>65</v>
      </c>
      <c r="G60" s="272" t="s">
        <v>152</v>
      </c>
      <c r="H60" s="271" t="s">
        <v>88</v>
      </c>
      <c r="O60" s="82">
        <v>0.93</v>
      </c>
      <c r="P60" s="82">
        <f t="shared" si="5"/>
        <v>271.78320000000002</v>
      </c>
      <c r="W60" s="132">
        <v>42711</v>
      </c>
      <c r="X60" s="10">
        <v>285.5</v>
      </c>
      <c r="Y60" s="10">
        <v>288.97000000000003</v>
      </c>
      <c r="Z60" s="10">
        <v>280.5</v>
      </c>
      <c r="AA60" s="10">
        <v>285.3</v>
      </c>
      <c r="AB60" s="94">
        <v>1948700</v>
      </c>
      <c r="AC60" s="10">
        <v>285.3</v>
      </c>
      <c r="AD60" s="2">
        <f t="shared" si="0"/>
        <v>8.4700000000000273</v>
      </c>
      <c r="AE60" s="137">
        <f t="shared" si="1"/>
        <v>-2.0126390987773135E-2</v>
      </c>
    </row>
    <row r="61" spans="1:31" x14ac:dyDescent="0.25">
      <c r="B61" s="265">
        <v>42304</v>
      </c>
      <c r="C61" s="260">
        <v>80</v>
      </c>
      <c r="D61" s="261">
        <v>271.44</v>
      </c>
      <c r="E61" s="261">
        <v>293.69</v>
      </c>
      <c r="F61" s="261">
        <v>1780.09</v>
      </c>
      <c r="G61" s="261">
        <f t="shared" ref="G61:G66" si="6">IF(C61=0, 0,D61*C61)</f>
        <v>21715.200000000001</v>
      </c>
      <c r="H61" s="273">
        <f t="shared" ref="H61:H66" si="7">IF(C61=0, D61, (E61-D61)/D61)</f>
        <v>8.1970232832301801E-2</v>
      </c>
      <c r="O61" s="82">
        <v>0.92</v>
      </c>
      <c r="P61" s="82">
        <f t="shared" si="5"/>
        <v>268.86080000000004</v>
      </c>
      <c r="W61" s="132">
        <v>42710</v>
      </c>
      <c r="X61" s="10">
        <v>291.75</v>
      </c>
      <c r="Y61" s="10">
        <v>294.45</v>
      </c>
      <c r="Z61" s="10">
        <v>290</v>
      </c>
      <c r="AA61" s="10">
        <v>291.16000000000003</v>
      </c>
      <c r="AB61" s="94">
        <v>1561000</v>
      </c>
      <c r="AC61" s="10">
        <v>291.16000000000003</v>
      </c>
      <c r="AD61" s="2">
        <f t="shared" si="0"/>
        <v>4.4499999999999886</v>
      </c>
      <c r="AE61" s="137">
        <f t="shared" si="1"/>
        <v>3.2389221969539861E-3</v>
      </c>
    </row>
    <row r="62" spans="1:31" x14ac:dyDescent="0.25">
      <c r="B62" s="265">
        <v>42310</v>
      </c>
      <c r="C62" s="260">
        <v>70</v>
      </c>
      <c r="D62" s="261">
        <v>267.36</v>
      </c>
      <c r="E62" s="261">
        <v>303.08</v>
      </c>
      <c r="F62" s="261">
        <v>2500.4299999999998</v>
      </c>
      <c r="G62" s="261">
        <f t="shared" si="6"/>
        <v>18715.2</v>
      </c>
      <c r="H62" s="273">
        <f t="shared" si="7"/>
        <v>0.1336026331538</v>
      </c>
      <c r="O62" s="82">
        <v>0.91</v>
      </c>
      <c r="P62" s="82">
        <f t="shared" si="5"/>
        <v>265.9384</v>
      </c>
      <c r="W62" s="132">
        <v>42709</v>
      </c>
      <c r="X62" s="10">
        <v>298.94</v>
      </c>
      <c r="Y62" s="10">
        <v>299.89</v>
      </c>
      <c r="Z62" s="10">
        <v>289.48</v>
      </c>
      <c r="AA62" s="10">
        <v>290.22000000000003</v>
      </c>
      <c r="AB62" s="94">
        <v>1831200</v>
      </c>
      <c r="AC62" s="10">
        <v>290.22000000000003</v>
      </c>
      <c r="AD62" s="2">
        <f t="shared" si="0"/>
        <v>10.409999999999968</v>
      </c>
      <c r="AE62" s="137">
        <f t="shared" si="1"/>
        <v>-2.3453009859012663E-2</v>
      </c>
    </row>
    <row r="63" spans="1:31" x14ac:dyDescent="0.25">
      <c r="B63" s="265">
        <v>42314</v>
      </c>
      <c r="C63" s="260">
        <v>80</v>
      </c>
      <c r="D63" s="261">
        <v>271.29000000000002</v>
      </c>
      <c r="E63" s="261">
        <v>299.14</v>
      </c>
      <c r="F63" s="261">
        <v>2227.9299999999998</v>
      </c>
      <c r="G63" s="261">
        <f t="shared" si="6"/>
        <v>21703.200000000001</v>
      </c>
      <c r="H63" s="273">
        <f t="shared" si="7"/>
        <v>0.10265767260127526</v>
      </c>
      <c r="O63" s="82">
        <v>0.9</v>
      </c>
      <c r="P63" s="82">
        <f t="shared" si="5"/>
        <v>263.01600000000002</v>
      </c>
      <c r="W63" s="132">
        <v>42706</v>
      </c>
      <c r="X63" s="10">
        <v>296.52999999999997</v>
      </c>
      <c r="Y63" s="10">
        <v>299.95</v>
      </c>
      <c r="Z63" s="10">
        <v>293.04000000000002</v>
      </c>
      <c r="AA63" s="10">
        <v>297.19</v>
      </c>
      <c r="AB63" s="94">
        <v>1423200</v>
      </c>
      <c r="AC63" s="10">
        <v>297.19</v>
      </c>
      <c r="AD63" s="2">
        <f t="shared" si="0"/>
        <v>6.9099999999999682</v>
      </c>
      <c r="AE63" s="137">
        <f t="shared" si="1"/>
        <v>4.7670565961188682E-3</v>
      </c>
    </row>
    <row r="64" spans="1:31" x14ac:dyDescent="0.25">
      <c r="B64" s="265">
        <v>42326</v>
      </c>
      <c r="C64" s="260">
        <v>40</v>
      </c>
      <c r="D64" s="261">
        <v>254.6</v>
      </c>
      <c r="E64" s="261">
        <v>291.98</v>
      </c>
      <c r="F64" s="261">
        <v>1495.32</v>
      </c>
      <c r="G64" s="261">
        <f t="shared" si="6"/>
        <v>10184</v>
      </c>
      <c r="H64" s="273">
        <f t="shared" si="7"/>
        <v>0.14681853888452484</v>
      </c>
      <c r="W64" s="132">
        <v>42705</v>
      </c>
      <c r="X64" s="10">
        <v>296.32</v>
      </c>
      <c r="Y64" s="10">
        <v>296.64999999999998</v>
      </c>
      <c r="Z64" s="10">
        <v>293.11</v>
      </c>
      <c r="AA64" s="10">
        <v>295.77999999999997</v>
      </c>
      <c r="AB64" s="94">
        <v>1666800</v>
      </c>
      <c r="AC64" s="10">
        <v>295.77999999999997</v>
      </c>
      <c r="AD64" s="2">
        <f t="shared" si="0"/>
        <v>3.5399999999999636</v>
      </c>
      <c r="AE64" s="137">
        <f t="shared" si="1"/>
        <v>5.8149420206072833E-3</v>
      </c>
    </row>
    <row r="65" spans="2:31" x14ac:dyDescent="0.25">
      <c r="B65" s="265">
        <v>42338</v>
      </c>
      <c r="C65" s="260">
        <v>60</v>
      </c>
      <c r="D65" s="261">
        <v>265.08999999999997</v>
      </c>
      <c r="E65" s="261">
        <v>286.86</v>
      </c>
      <c r="F65" s="261">
        <v>1305.92</v>
      </c>
      <c r="G65" s="261">
        <f t="shared" si="6"/>
        <v>15905.399999999998</v>
      </c>
      <c r="H65" s="273">
        <f t="shared" si="7"/>
        <v>8.2123052548191328E-2</v>
      </c>
      <c r="W65" s="132">
        <v>42704</v>
      </c>
      <c r="X65" s="10">
        <v>303.33999999999997</v>
      </c>
      <c r="Y65" s="10">
        <v>304.3</v>
      </c>
      <c r="Z65" s="10">
        <v>293.95</v>
      </c>
      <c r="AA65" s="10">
        <v>294.07</v>
      </c>
      <c r="AB65" s="94">
        <v>2120900</v>
      </c>
      <c r="AC65" s="10">
        <v>294.07</v>
      </c>
      <c r="AD65" s="2">
        <f t="shared" si="0"/>
        <v>10.350000000000023</v>
      </c>
      <c r="AE65" s="137">
        <f t="shared" si="1"/>
        <v>-2.8734683092776714E-2</v>
      </c>
    </row>
    <row r="66" spans="2:31" x14ac:dyDescent="0.25">
      <c r="B66" s="265">
        <v>42342</v>
      </c>
      <c r="C66" s="260">
        <v>25</v>
      </c>
      <c r="D66" s="261">
        <v>240.05</v>
      </c>
      <c r="E66" s="261">
        <v>284.45</v>
      </c>
      <c r="F66" s="261">
        <v>1110</v>
      </c>
      <c r="G66" s="261">
        <f t="shared" si="6"/>
        <v>6001.25</v>
      </c>
      <c r="H66" s="273">
        <f t="shared" si="7"/>
        <v>0.18496146636117466</v>
      </c>
      <c r="W66" s="132">
        <v>42703</v>
      </c>
      <c r="X66" s="10">
        <v>304.73</v>
      </c>
      <c r="Y66" s="10">
        <v>307.42</v>
      </c>
      <c r="Z66" s="10">
        <v>302.52999999999997</v>
      </c>
      <c r="AA66" s="10">
        <v>302.77</v>
      </c>
      <c r="AB66" s="94">
        <v>1388400</v>
      </c>
      <c r="AC66" s="10">
        <v>302.77</v>
      </c>
      <c r="AD66" s="2">
        <f t="shared" si="0"/>
        <v>4.8900000000000432</v>
      </c>
      <c r="AE66" s="137">
        <f t="shared" si="1"/>
        <v>-3.3247745078675006E-3</v>
      </c>
    </row>
    <row r="67" spans="2:31" x14ac:dyDescent="0.25">
      <c r="B67" s="265">
        <v>42355</v>
      </c>
      <c r="C67" s="260">
        <v>0</v>
      </c>
      <c r="D67" s="261">
        <v>0</v>
      </c>
      <c r="E67" s="261">
        <v>297.17</v>
      </c>
      <c r="F67" s="261">
        <v>1373.65</v>
      </c>
      <c r="G67" s="261"/>
      <c r="H67" s="273"/>
      <c r="W67" s="132">
        <v>42702</v>
      </c>
      <c r="X67" s="10">
        <v>304.36</v>
      </c>
      <c r="Y67" s="10">
        <v>305.83999999999997</v>
      </c>
      <c r="Z67" s="10">
        <v>301.3</v>
      </c>
      <c r="AA67" s="10">
        <v>303.77999999999997</v>
      </c>
      <c r="AB67" s="94">
        <v>1222600</v>
      </c>
      <c r="AC67" s="10">
        <v>303.77999999999997</v>
      </c>
      <c r="AD67" s="2">
        <f>Y67-Z67</f>
        <v>4.5399999999999636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B69" s="377">
        <v>42408</v>
      </c>
      <c r="C69" s="378">
        <v>5</v>
      </c>
      <c r="D69" s="379">
        <v>251.5</v>
      </c>
      <c r="E69" s="379">
        <v>256.52</v>
      </c>
      <c r="F69" s="379">
        <f>C69*(E69-D69)</f>
        <v>25.099999999999909</v>
      </c>
      <c r="G69" s="379">
        <f>D69*C69</f>
        <v>1257.5</v>
      </c>
      <c r="H69" s="380">
        <f>(E69-D69)/D69</f>
        <v>1.9960238568588397E-2</v>
      </c>
      <c r="I69" s="380"/>
    </row>
    <row r="70" spans="2:31" x14ac:dyDescent="0.25">
      <c r="B70" s="377">
        <v>42422</v>
      </c>
      <c r="C70" s="378">
        <v>5</v>
      </c>
      <c r="D70" s="379">
        <v>251.5</v>
      </c>
      <c r="E70" s="379">
        <v>265.83</v>
      </c>
      <c r="F70" s="379">
        <f t="shared" ref="F70:F79" si="8">C70*(E70-D70)</f>
        <v>71.64999999999992</v>
      </c>
      <c r="G70" s="379">
        <f t="shared" ref="G70:G80" si="9">D70*C70</f>
        <v>1257.5</v>
      </c>
      <c r="H70" s="380">
        <f t="shared" ref="H70:H79" si="10">(E70-D70)/D70</f>
        <v>5.6978131212723597E-2</v>
      </c>
      <c r="I70" s="380"/>
    </row>
    <row r="71" spans="2:31" x14ac:dyDescent="0.25">
      <c r="B71" s="377">
        <v>42431</v>
      </c>
      <c r="C71" s="378">
        <v>5</v>
      </c>
      <c r="D71" s="379">
        <v>251.5</v>
      </c>
      <c r="E71" s="379">
        <v>273.66000000000003</v>
      </c>
      <c r="F71" s="379">
        <f t="shared" si="8"/>
        <v>110.80000000000013</v>
      </c>
      <c r="G71" s="379">
        <f t="shared" si="9"/>
        <v>1257.5</v>
      </c>
      <c r="H71" s="380">
        <f t="shared" si="10"/>
        <v>8.8111332007952389E-2</v>
      </c>
      <c r="I71" s="380"/>
    </row>
    <row r="72" spans="2:31" x14ac:dyDescent="0.25">
      <c r="B72" s="377">
        <v>42433</v>
      </c>
      <c r="C72" s="378">
        <v>5</v>
      </c>
      <c r="D72" s="379">
        <v>251.5</v>
      </c>
      <c r="E72" s="379">
        <v>263.94</v>
      </c>
      <c r="F72" s="379">
        <f t="shared" si="8"/>
        <v>62.199999999999989</v>
      </c>
      <c r="G72" s="379">
        <f t="shared" si="9"/>
        <v>1257.5</v>
      </c>
      <c r="H72" s="380">
        <f t="shared" si="10"/>
        <v>4.9463220675944324E-2</v>
      </c>
      <c r="I72" s="380"/>
    </row>
    <row r="73" spans="2:31" x14ac:dyDescent="0.25">
      <c r="B73" s="377">
        <v>42439</v>
      </c>
      <c r="C73" s="378">
        <v>5</v>
      </c>
      <c r="D73" s="379">
        <v>251.5</v>
      </c>
      <c r="E73" s="379">
        <v>251.97</v>
      </c>
      <c r="F73" s="379">
        <f t="shared" si="8"/>
        <v>2.3499999999999943</v>
      </c>
      <c r="G73" s="379">
        <f t="shared" si="9"/>
        <v>1257.5</v>
      </c>
      <c r="H73" s="381">
        <f t="shared" si="10"/>
        <v>1.8687872763419437E-3</v>
      </c>
      <c r="I73" s="381"/>
    </row>
    <row r="74" spans="2:31" x14ac:dyDescent="0.25">
      <c r="B74" s="377">
        <v>42444</v>
      </c>
      <c r="C74" s="378">
        <v>5</v>
      </c>
      <c r="D74" s="379">
        <v>251.5</v>
      </c>
      <c r="E74" s="379">
        <v>250.33</v>
      </c>
      <c r="F74" s="379">
        <f t="shared" si="8"/>
        <v>-5.8499999999999375</v>
      </c>
      <c r="G74" s="379">
        <f t="shared" si="9"/>
        <v>1257.5</v>
      </c>
      <c r="H74" s="381">
        <f t="shared" si="10"/>
        <v>-4.6520874751490556E-3</v>
      </c>
      <c r="I74" s="381"/>
    </row>
    <row r="75" spans="2:31" x14ac:dyDescent="0.25">
      <c r="B75" s="377">
        <v>42446</v>
      </c>
      <c r="C75" s="378">
        <v>15</v>
      </c>
      <c r="D75" s="379">
        <v>245.5333</v>
      </c>
      <c r="E75" s="379">
        <v>246.31</v>
      </c>
      <c r="F75" s="379">
        <f t="shared" si="8"/>
        <v>11.650500000000079</v>
      </c>
      <c r="G75" s="379">
        <f t="shared" si="9"/>
        <v>3682.9994999999999</v>
      </c>
      <c r="H75" s="381">
        <f t="shared" si="10"/>
        <v>3.1633183767741701E-3</v>
      </c>
      <c r="I75" s="381"/>
    </row>
    <row r="76" spans="2:31" x14ac:dyDescent="0.25">
      <c r="B76" s="377">
        <v>42447</v>
      </c>
      <c r="C76" s="378">
        <v>10</v>
      </c>
      <c r="D76" s="379">
        <v>243.50800000000001</v>
      </c>
      <c r="E76" s="379">
        <v>250.78</v>
      </c>
      <c r="F76" s="379">
        <f t="shared" si="8"/>
        <v>72.719999999999914</v>
      </c>
      <c r="G76" s="379">
        <f t="shared" si="9"/>
        <v>2435.08</v>
      </c>
      <c r="H76" s="381">
        <f t="shared" si="10"/>
        <v>2.9863495244509385E-2</v>
      </c>
      <c r="I76" s="381" t="s">
        <v>193</v>
      </c>
    </row>
    <row r="77" spans="2:31" x14ac:dyDescent="0.25">
      <c r="B77" s="377">
        <v>42458</v>
      </c>
      <c r="C77" s="378">
        <v>10</v>
      </c>
      <c r="D77" s="379">
        <v>243.50800000000001</v>
      </c>
      <c r="E77" s="379">
        <v>254.68</v>
      </c>
      <c r="F77" s="379">
        <f t="shared" si="8"/>
        <v>111.71999999999997</v>
      </c>
      <c r="G77" s="379">
        <f t="shared" si="9"/>
        <v>2435.08</v>
      </c>
      <c r="H77" s="381">
        <f t="shared" si="10"/>
        <v>4.587939615946908E-2</v>
      </c>
      <c r="I77" s="381"/>
    </row>
    <row r="78" spans="2:31" x14ac:dyDescent="0.25">
      <c r="B78" s="377">
        <v>42460</v>
      </c>
      <c r="C78" s="378">
        <v>5</v>
      </c>
      <c r="D78" s="379">
        <v>225.80199999999999</v>
      </c>
      <c r="E78" s="379">
        <v>260.32</v>
      </c>
      <c r="F78" s="379">
        <f t="shared" si="8"/>
        <v>172.59</v>
      </c>
      <c r="G78" s="379">
        <f t="shared" si="9"/>
        <v>1129.01</v>
      </c>
      <c r="H78" s="381">
        <f t="shared" si="10"/>
        <v>0.15286844226357607</v>
      </c>
      <c r="I78" s="381"/>
    </row>
    <row r="79" spans="2:31" x14ac:dyDescent="0.25">
      <c r="B79" s="377">
        <v>42469</v>
      </c>
      <c r="C79" s="378">
        <v>5</v>
      </c>
      <c r="D79" s="379">
        <v>225.80199999999999</v>
      </c>
      <c r="E79" s="379">
        <v>270.83</v>
      </c>
      <c r="F79" s="379">
        <f t="shared" si="8"/>
        <v>225.13999999999996</v>
      </c>
      <c r="G79" s="379">
        <f t="shared" si="9"/>
        <v>1129.01</v>
      </c>
      <c r="H79" s="381">
        <f t="shared" si="10"/>
        <v>0.1994136455832986</v>
      </c>
      <c r="I79" s="381"/>
    </row>
    <row r="80" spans="2:31" x14ac:dyDescent="0.25">
      <c r="B80" s="377">
        <v>42482</v>
      </c>
      <c r="C80" s="378">
        <v>0</v>
      </c>
      <c r="D80" s="379">
        <v>0</v>
      </c>
      <c r="E80" s="379">
        <v>0</v>
      </c>
      <c r="F80" s="379">
        <v>285.70999999999998</v>
      </c>
      <c r="G80" s="379">
        <f t="shared" si="9"/>
        <v>0</v>
      </c>
      <c r="H80" s="381"/>
      <c r="I80" s="381"/>
    </row>
    <row r="81" spans="2:9" x14ac:dyDescent="0.25">
      <c r="B81" s="378"/>
      <c r="C81" s="378"/>
      <c r="D81" s="379"/>
      <c r="E81" s="379"/>
      <c r="F81" s="379"/>
      <c r="G81" s="379"/>
      <c r="H81" s="381"/>
      <c r="I81" s="381"/>
    </row>
    <row r="82" spans="2:9" x14ac:dyDescent="0.25">
      <c r="B82" s="378"/>
      <c r="C82" s="378"/>
      <c r="D82" s="379"/>
      <c r="E82" s="379"/>
      <c r="F82" s="379"/>
      <c r="G82" s="379"/>
      <c r="H82" s="381"/>
      <c r="I82" s="381"/>
    </row>
  </sheetData>
  <mergeCells count="1">
    <mergeCell ref="O42:P42"/>
  </mergeCells>
  <conditionalFormatting sqref="N19 F25:F35">
    <cfRule type="expression" dxfId="1203" priority="58">
      <formula>F19&gt;0</formula>
    </cfRule>
    <cfRule type="expression" dxfId="120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201" priority="47">
      <formula>H25&gt;0</formula>
    </cfRule>
    <cfRule type="expression" dxfId="1200" priority="48">
      <formula>H25&lt;0</formula>
    </cfRule>
  </conditionalFormatting>
  <conditionalFormatting sqref="M39">
    <cfRule type="expression" dxfId="1199" priority="45">
      <formula>M39&gt;0</formula>
    </cfRule>
    <cfRule type="expression" dxfId="1198" priority="46">
      <formula>M39&lt;0</formula>
    </cfRule>
  </conditionalFormatting>
  <conditionalFormatting sqref="F61:F67">
    <cfRule type="expression" dxfId="1197" priority="43">
      <formula>F61&gt;0</formula>
    </cfRule>
    <cfRule type="expression" dxfId="1196" priority="44">
      <formula>F61&lt;0</formula>
    </cfRule>
  </conditionalFormatting>
  <conditionalFormatting sqref="H61:H67">
    <cfRule type="expression" dxfId="1195" priority="41">
      <formula>H61&gt;0</formula>
    </cfRule>
    <cfRule type="expression" dxfId="1194" priority="42">
      <formula>H61&lt;0</formula>
    </cfRule>
  </conditionalFormatting>
  <conditionalFormatting sqref="F21:F24">
    <cfRule type="expression" dxfId="1193" priority="39">
      <formula>F21&gt;0</formula>
    </cfRule>
    <cfRule type="expression" dxfId="1192" priority="40">
      <formula>F21&lt;0</formula>
    </cfRule>
  </conditionalFormatting>
  <conditionalFormatting sqref="H21:H24">
    <cfRule type="expression" dxfId="1191" priority="37">
      <formula>H21&gt;0</formula>
    </cfRule>
    <cfRule type="expression" dxfId="1190" priority="38">
      <formula>H21&lt;0</formula>
    </cfRule>
  </conditionalFormatting>
  <conditionalFormatting sqref="I25:I28">
    <cfRule type="expression" dxfId="1189" priority="31">
      <formula>I25&gt;0</formula>
    </cfRule>
    <cfRule type="expression" dxfId="1188" priority="32">
      <formula>I25&lt;0</formula>
    </cfRule>
  </conditionalFormatting>
  <conditionalFormatting sqref="I21:I24">
    <cfRule type="expression" dxfId="1187" priority="29">
      <formula>I21&gt;0</formula>
    </cfRule>
    <cfRule type="expression" dxfId="1186" priority="30">
      <formula>I21&lt;0</formula>
    </cfRule>
  </conditionalFormatting>
  <conditionalFormatting sqref="H29">
    <cfRule type="expression" dxfId="1185" priority="27">
      <formula>H29&gt;0</formula>
    </cfRule>
    <cfRule type="expression" dxfId="1184" priority="28">
      <formula>H29&lt;0</formula>
    </cfRule>
  </conditionalFormatting>
  <conditionalFormatting sqref="H30">
    <cfRule type="expression" dxfId="1183" priority="25">
      <formula>H30&gt;0</formula>
    </cfRule>
    <cfRule type="expression" dxfId="1182" priority="26">
      <formula>H30&lt;0</formula>
    </cfRule>
  </conditionalFormatting>
  <conditionalFormatting sqref="H31">
    <cfRule type="expression" dxfId="1181" priority="23">
      <formula>H31&gt;0</formula>
    </cfRule>
    <cfRule type="expression" dxfId="1180" priority="24">
      <formula>H31&lt;0</formula>
    </cfRule>
  </conditionalFormatting>
  <conditionalFormatting sqref="Q7">
    <cfRule type="expression" dxfId="1179" priority="21">
      <formula>Q7&gt;0</formula>
    </cfRule>
    <cfRule type="expression" dxfId="1178" priority="22">
      <formula>Q7&lt;0</formula>
    </cfRule>
  </conditionalFormatting>
  <conditionalFormatting sqref="Q8">
    <cfRule type="expression" dxfId="1177" priority="19">
      <formula>Q8&gt;0</formula>
    </cfRule>
    <cfRule type="expression" dxfId="1176" priority="20">
      <formula>Q8&lt;0</formula>
    </cfRule>
  </conditionalFormatting>
  <conditionalFormatting sqref="F73:F82">
    <cfRule type="expression" dxfId="1175" priority="17">
      <formula>F73&gt;0</formula>
    </cfRule>
    <cfRule type="expression" dxfId="1174" priority="18">
      <formula>F73&lt;0</formula>
    </cfRule>
  </conditionalFormatting>
  <conditionalFormatting sqref="H73:H76">
    <cfRule type="expression" dxfId="1173" priority="15">
      <formula>H73&gt;0</formula>
    </cfRule>
    <cfRule type="expression" dxfId="1172" priority="16">
      <formula>H73&lt;0</formula>
    </cfRule>
  </conditionalFormatting>
  <conditionalFormatting sqref="F69:F72">
    <cfRule type="expression" dxfId="1171" priority="13">
      <formula>F69&gt;0</formula>
    </cfRule>
    <cfRule type="expression" dxfId="1170" priority="14">
      <formula>F69&lt;0</formula>
    </cfRule>
  </conditionalFormatting>
  <conditionalFormatting sqref="H69:H72">
    <cfRule type="expression" dxfId="1169" priority="11">
      <formula>H69&gt;0</formula>
    </cfRule>
    <cfRule type="expression" dxfId="1168" priority="12">
      <formula>H69&lt;0</formula>
    </cfRule>
  </conditionalFormatting>
  <conditionalFormatting sqref="I73:I76">
    <cfRule type="expression" dxfId="1167" priority="9">
      <formula>I73&gt;0</formula>
    </cfRule>
    <cfRule type="expression" dxfId="1166" priority="10">
      <formula>I73&lt;0</formula>
    </cfRule>
  </conditionalFormatting>
  <conditionalFormatting sqref="I69:I72">
    <cfRule type="expression" dxfId="1165" priority="7">
      <formula>I69&gt;0</formula>
    </cfRule>
    <cfRule type="expression" dxfId="1164" priority="8">
      <formula>I69&lt;0</formula>
    </cfRule>
  </conditionalFormatting>
  <conditionalFormatting sqref="H77">
    <cfRule type="expression" dxfId="1163" priority="5">
      <formula>H77&gt;0</formula>
    </cfRule>
    <cfRule type="expression" dxfId="1162" priority="6">
      <formula>H77&lt;0</formula>
    </cfRule>
  </conditionalFormatting>
  <conditionalFormatting sqref="H78">
    <cfRule type="expression" dxfId="1161" priority="3">
      <formula>H78&gt;0</formula>
    </cfRule>
    <cfRule type="expression" dxfId="1160" priority="4">
      <formula>H78&lt;0</formula>
    </cfRule>
  </conditionalFormatting>
  <conditionalFormatting sqref="H79">
    <cfRule type="expression" dxfId="1159" priority="1">
      <formula>H79&gt;0</formula>
    </cfRule>
    <cfRule type="expression" dxfId="115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11.710937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42797</v>
      </c>
      <c r="X2" s="10">
        <v>45.21</v>
      </c>
      <c r="Y2" s="10">
        <v>45.75</v>
      </c>
      <c r="Z2" s="10">
        <v>44.91</v>
      </c>
      <c r="AA2" s="10">
        <v>45.18</v>
      </c>
      <c r="AB2" s="94">
        <v>5382300</v>
      </c>
      <c r="AC2" s="10">
        <v>45.18</v>
      </c>
      <c r="AD2" s="2">
        <f>Y2-Z2</f>
        <v>0.84000000000000341</v>
      </c>
      <c r="AE2" s="137">
        <f>AC2/AC3-1</f>
        <v>-2.2084805653710404E-3</v>
      </c>
    </row>
    <row r="3" spans="1:40" x14ac:dyDescent="0.25">
      <c r="A3" s="23" t="s">
        <v>71</v>
      </c>
      <c r="B3" s="16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43.4</v>
      </c>
      <c r="W3" s="132">
        <v>42796</v>
      </c>
      <c r="X3" s="10">
        <v>44.67</v>
      </c>
      <c r="Y3" s="10">
        <v>45.73</v>
      </c>
      <c r="Z3" s="10">
        <v>44.4</v>
      </c>
      <c r="AA3" s="10">
        <v>45.28</v>
      </c>
      <c r="AB3" s="94">
        <v>7208200</v>
      </c>
      <c r="AC3" s="10">
        <v>45.28</v>
      </c>
      <c r="AD3" s="2">
        <f t="shared" ref="AD3:AD66" si="0">Y3-Z3</f>
        <v>1.3299999999999983</v>
      </c>
      <c r="AE3" s="137">
        <f t="shared" ref="AE3:AE66" si="1">AC3/AC4-1</f>
        <v>9.1375083574771754E-3</v>
      </c>
      <c r="AG3" s="1"/>
      <c r="AK3" s="233"/>
      <c r="AN3" s="233"/>
    </row>
    <row r="4" spans="1:40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43.4</v>
      </c>
      <c r="R4" s="517">
        <v>3.8999999999999998E-3</v>
      </c>
      <c r="T4" s="1"/>
      <c r="W4" s="132">
        <v>42795</v>
      </c>
      <c r="X4" s="10">
        <v>44.34</v>
      </c>
      <c r="Y4" s="10">
        <v>45.87</v>
      </c>
      <c r="Z4" s="10">
        <v>44.1</v>
      </c>
      <c r="AA4" s="10">
        <v>44.87</v>
      </c>
      <c r="AB4" s="94">
        <v>15915900</v>
      </c>
      <c r="AC4" s="10">
        <v>44.87</v>
      </c>
      <c r="AD4" s="2">
        <f t="shared" si="0"/>
        <v>1.769999999999996</v>
      </c>
      <c r="AE4" s="137">
        <f t="shared" si="1"/>
        <v>7.2162485065710769E-2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42794</v>
      </c>
      <c r="X5" s="10">
        <v>42.45</v>
      </c>
      <c r="Y5" s="10">
        <v>42.48</v>
      </c>
      <c r="Z5" s="10">
        <v>41.42</v>
      </c>
      <c r="AA5" s="10">
        <v>41.85</v>
      </c>
      <c r="AB5" s="94">
        <v>6809700</v>
      </c>
      <c r="AC5" s="10">
        <v>41.85</v>
      </c>
      <c r="AD5" s="2">
        <f t="shared" si="0"/>
        <v>1.0599999999999952</v>
      </c>
      <c r="AE5" s="137">
        <f t="shared" si="1"/>
        <v>-1.3901979264844377E-2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42793</v>
      </c>
      <c r="X6" s="10">
        <v>42.04</v>
      </c>
      <c r="Y6" s="10">
        <v>42.5</v>
      </c>
      <c r="Z6" s="10">
        <v>41.77</v>
      </c>
      <c r="AA6" s="10">
        <v>42.44</v>
      </c>
      <c r="AB6" s="94">
        <v>4057000</v>
      </c>
      <c r="AC6" s="10">
        <v>42.44</v>
      </c>
      <c r="AD6" s="2">
        <f t="shared" si="0"/>
        <v>0.72999999999999687</v>
      </c>
      <c r="AE6" s="137">
        <f t="shared" si="1"/>
        <v>6.6413662239088733E-3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42790</v>
      </c>
      <c r="X7" s="10">
        <v>42.31</v>
      </c>
      <c r="Y7" s="10">
        <v>42.35</v>
      </c>
      <c r="Z7" s="10">
        <v>41.76</v>
      </c>
      <c r="AA7" s="10">
        <v>42.16</v>
      </c>
      <c r="AB7" s="94">
        <v>4853600</v>
      </c>
      <c r="AC7" s="10">
        <v>42.16</v>
      </c>
      <c r="AD7" s="2">
        <f t="shared" si="0"/>
        <v>0.59000000000000341</v>
      </c>
      <c r="AE7" s="137">
        <f t="shared" si="1"/>
        <v>-4.0160642570281624E-3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42789</v>
      </c>
      <c r="X8" s="10">
        <v>42.03</v>
      </c>
      <c r="Y8" s="10">
        <v>42.54</v>
      </c>
      <c r="Z8" s="10">
        <v>41.77</v>
      </c>
      <c r="AA8" s="10">
        <v>42.33</v>
      </c>
      <c r="AB8" s="94">
        <v>4395100</v>
      </c>
      <c r="AC8" s="10">
        <v>42.33</v>
      </c>
      <c r="AD8" s="2">
        <f t="shared" si="0"/>
        <v>0.76999999999999602</v>
      </c>
      <c r="AE8" s="137">
        <f t="shared" si="1"/>
        <v>7.8571428571427848E-3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42788</v>
      </c>
      <c r="X9" s="10">
        <v>42.21</v>
      </c>
      <c r="Y9" s="10">
        <v>42.3</v>
      </c>
      <c r="Z9" s="10">
        <v>41.86</v>
      </c>
      <c r="AA9" s="10">
        <v>42</v>
      </c>
      <c r="AB9" s="94">
        <v>5059300</v>
      </c>
      <c r="AC9" s="10">
        <v>42</v>
      </c>
      <c r="AD9" s="2">
        <f t="shared" si="0"/>
        <v>0.43999999999999773</v>
      </c>
      <c r="AE9" s="137">
        <f t="shared" si="1"/>
        <v>-7.0921985815601829E-3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42787</v>
      </c>
      <c r="X10" s="10">
        <v>42.46</v>
      </c>
      <c r="Y10" s="10">
        <v>42.7</v>
      </c>
      <c r="Z10" s="10">
        <v>42.07</v>
      </c>
      <c r="AA10" s="10">
        <v>42.3</v>
      </c>
      <c r="AB10" s="94">
        <v>7352100</v>
      </c>
      <c r="AC10" s="10">
        <v>42.3</v>
      </c>
      <c r="AD10" s="2">
        <f t="shared" si="0"/>
        <v>0.63000000000000256</v>
      </c>
      <c r="AE10" s="137">
        <f t="shared" si="1"/>
        <v>5.9453032104637149E-3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41.86</v>
      </c>
      <c r="Y11" s="10">
        <v>42.33</v>
      </c>
      <c r="Z11" s="10">
        <v>41.78</v>
      </c>
      <c r="AA11" s="10">
        <v>42.05</v>
      </c>
      <c r="AB11" s="94">
        <v>6135400</v>
      </c>
      <c r="AC11" s="10">
        <v>42.05</v>
      </c>
      <c r="AD11" s="2">
        <f t="shared" si="0"/>
        <v>0.54999999999999716</v>
      </c>
      <c r="AE11" s="137">
        <f t="shared" si="1"/>
        <v>1.1904761904761862E-3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42782</v>
      </c>
      <c r="X12" s="10">
        <v>42.6</v>
      </c>
      <c r="Y12" s="10">
        <v>42.65</v>
      </c>
      <c r="Z12" s="10">
        <v>41.56</v>
      </c>
      <c r="AA12" s="10">
        <v>42</v>
      </c>
      <c r="AB12" s="94">
        <v>4437500</v>
      </c>
      <c r="AC12" s="10">
        <v>42</v>
      </c>
      <c r="AD12" s="2">
        <f t="shared" si="0"/>
        <v>1.0899999999999963</v>
      </c>
      <c r="AE12" s="137">
        <f t="shared" si="1"/>
        <v>-1.0367577756833168E-2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42781</v>
      </c>
      <c r="X13" s="10">
        <v>40.67</v>
      </c>
      <c r="Y13" s="10">
        <v>42.59</v>
      </c>
      <c r="Z13" s="10">
        <v>40.590000000000003</v>
      </c>
      <c r="AA13" s="10">
        <v>42.44</v>
      </c>
      <c r="AB13" s="94">
        <v>10630400</v>
      </c>
      <c r="AC13" s="10">
        <v>42.44</v>
      </c>
      <c r="AD13" s="2">
        <f t="shared" si="0"/>
        <v>2</v>
      </c>
      <c r="AE13" s="137">
        <f t="shared" si="1"/>
        <v>4.1472392638036704E-2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42780</v>
      </c>
      <c r="X14" s="10">
        <v>39.590000000000003</v>
      </c>
      <c r="Y14" s="10">
        <v>40.909999999999997</v>
      </c>
      <c r="Z14" s="10">
        <v>39.56</v>
      </c>
      <c r="AA14" s="10">
        <v>40.75</v>
      </c>
      <c r="AB14" s="94">
        <v>5497900</v>
      </c>
      <c r="AC14" s="10">
        <v>40.75</v>
      </c>
      <c r="AD14" s="2">
        <f t="shared" si="0"/>
        <v>1.3499999999999943</v>
      </c>
      <c r="AE14" s="137">
        <f t="shared" si="1"/>
        <v>2.438411261940665E-2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42779</v>
      </c>
      <c r="X15" s="10">
        <v>39.71</v>
      </c>
      <c r="Y15" s="10">
        <v>39.89</v>
      </c>
      <c r="Z15" s="10">
        <v>39.56</v>
      </c>
      <c r="AA15" s="10">
        <v>39.78</v>
      </c>
      <c r="AB15" s="94">
        <v>3872500</v>
      </c>
      <c r="AC15" s="10">
        <v>39.78</v>
      </c>
      <c r="AD15" s="2">
        <f t="shared" si="0"/>
        <v>0.32999999999999829</v>
      </c>
      <c r="AE15" s="137">
        <f t="shared" si="1"/>
        <v>1.1956245230221318E-2</v>
      </c>
    </row>
    <row r="16" spans="1:40" x14ac:dyDescent="0.25">
      <c r="G16" s="1"/>
      <c r="W16" s="132">
        <v>42776</v>
      </c>
      <c r="X16" s="10">
        <v>39.090000000000003</v>
      </c>
      <c r="Y16" s="10">
        <v>39.46</v>
      </c>
      <c r="Z16" s="10">
        <v>39</v>
      </c>
      <c r="AA16" s="10">
        <v>39.31</v>
      </c>
      <c r="AB16" s="94">
        <v>2521900</v>
      </c>
      <c r="AC16" s="10">
        <v>39.31</v>
      </c>
      <c r="AD16" s="2">
        <f t="shared" si="0"/>
        <v>0.46000000000000085</v>
      </c>
      <c r="AE16" s="137">
        <f t="shared" si="1"/>
        <v>2.5445292620873694E-4</v>
      </c>
    </row>
    <row r="17" spans="1:31" x14ac:dyDescent="0.25">
      <c r="G17" s="1"/>
      <c r="W17" s="132">
        <v>42775</v>
      </c>
      <c r="X17" s="10">
        <v>39.36</v>
      </c>
      <c r="Y17" s="10">
        <v>39.6</v>
      </c>
      <c r="Z17" s="10">
        <v>39</v>
      </c>
      <c r="AA17" s="10">
        <v>39.299999999999997</v>
      </c>
      <c r="AB17" s="94">
        <v>5517100</v>
      </c>
      <c r="AC17" s="10">
        <v>39.299999999999997</v>
      </c>
      <c r="AD17" s="2">
        <f t="shared" si="0"/>
        <v>0.60000000000000142</v>
      </c>
      <c r="AE17" s="137">
        <f t="shared" si="1"/>
        <v>2.8068384792039325E-3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42774</v>
      </c>
      <c r="X18" s="10">
        <v>39.22</v>
      </c>
      <c r="Y18" s="10">
        <v>39.65</v>
      </c>
      <c r="Z18" s="10">
        <v>39</v>
      </c>
      <c r="AA18" s="10">
        <v>39.19</v>
      </c>
      <c r="AB18" s="94">
        <v>5932000</v>
      </c>
      <c r="AC18" s="10">
        <v>39.19</v>
      </c>
      <c r="AD18" s="2">
        <f t="shared" si="0"/>
        <v>0.64999999999999858</v>
      </c>
      <c r="AE18" s="137">
        <f t="shared" si="1"/>
        <v>-5.0774308200051133E-3</v>
      </c>
    </row>
    <row r="19" spans="1:31" x14ac:dyDescent="0.25">
      <c r="N19" s="2"/>
      <c r="W19" s="132">
        <v>42773</v>
      </c>
      <c r="X19" s="10">
        <v>40.26</v>
      </c>
      <c r="Y19" s="10">
        <v>40.299999999999997</v>
      </c>
      <c r="Z19" s="10">
        <v>39.21</v>
      </c>
      <c r="AA19" s="10">
        <v>39.39</v>
      </c>
      <c r="AB19" s="94">
        <v>5989000</v>
      </c>
      <c r="AC19" s="10">
        <v>39.39</v>
      </c>
      <c r="AD19" s="2">
        <f t="shared" si="0"/>
        <v>1.0899999999999963</v>
      </c>
      <c r="AE19" s="137">
        <f t="shared" si="1"/>
        <v>-1.4757378689344569E-2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42772</v>
      </c>
      <c r="X20" s="10">
        <v>39.36</v>
      </c>
      <c r="Y20" s="10">
        <v>40.25</v>
      </c>
      <c r="Z20" s="10">
        <v>39.340000000000003</v>
      </c>
      <c r="AA20" s="10">
        <v>39.979999999999997</v>
      </c>
      <c r="AB20" s="94">
        <v>6050000</v>
      </c>
      <c r="AC20" s="10">
        <v>39.979999999999997</v>
      </c>
      <c r="AD20" s="2">
        <f t="shared" si="0"/>
        <v>0.90999999999999659</v>
      </c>
      <c r="AE20" s="137">
        <f t="shared" si="1"/>
        <v>1.9637847487885551E-2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42769</v>
      </c>
      <c r="X21" s="10">
        <v>39.270000000000003</v>
      </c>
      <c r="Y21" s="10">
        <v>39.5</v>
      </c>
      <c r="Z21" s="10">
        <v>38.520000000000003</v>
      </c>
      <c r="AA21" s="10">
        <v>39.21</v>
      </c>
      <c r="AB21" s="94">
        <v>5677900</v>
      </c>
      <c r="AC21" s="10">
        <v>39.21</v>
      </c>
      <c r="AD21" s="2">
        <f t="shared" si="0"/>
        <v>0.97999999999999687</v>
      </c>
      <c r="AE21" s="137">
        <f t="shared" si="1"/>
        <v>5.3846153846153211E-3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42768</v>
      </c>
      <c r="X22" s="10">
        <v>38.26</v>
      </c>
      <c r="Y22" s="10">
        <v>39.35</v>
      </c>
      <c r="Z22" s="10">
        <v>38.159999999999997</v>
      </c>
      <c r="AA22" s="10">
        <v>39</v>
      </c>
      <c r="AB22" s="94">
        <v>6173200</v>
      </c>
      <c r="AC22" s="10">
        <v>39</v>
      </c>
      <c r="AD22" s="2">
        <f t="shared" si="0"/>
        <v>1.1900000000000048</v>
      </c>
      <c r="AE22" s="137">
        <f t="shared" si="1"/>
        <v>8.7946197620281108E-3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42767</v>
      </c>
      <c r="X23" s="10">
        <v>38.68</v>
      </c>
      <c r="Y23" s="10">
        <v>38.75</v>
      </c>
      <c r="Z23" s="10">
        <v>38.07</v>
      </c>
      <c r="AA23" s="10">
        <v>38.659999999999997</v>
      </c>
      <c r="AB23" s="94">
        <v>5822400</v>
      </c>
      <c r="AC23" s="10">
        <v>38.659999999999997</v>
      </c>
      <c r="AD23" s="2">
        <f t="shared" si="0"/>
        <v>0.67999999999999972</v>
      </c>
      <c r="AE23" s="137">
        <f t="shared" si="1"/>
        <v>1.6031537450722722E-2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42766</v>
      </c>
      <c r="X24" s="10">
        <v>37.020000000000003</v>
      </c>
      <c r="Y24" s="10">
        <v>38.090000000000003</v>
      </c>
      <c r="Z24" s="10">
        <v>36.409999999999997</v>
      </c>
      <c r="AA24" s="10">
        <v>38.049999999999997</v>
      </c>
      <c r="AB24" s="94">
        <v>7342100</v>
      </c>
      <c r="AC24" s="10">
        <v>38.049999999999997</v>
      </c>
      <c r="AD24" s="2">
        <f t="shared" si="0"/>
        <v>1.6800000000000068</v>
      </c>
      <c r="AE24" s="137">
        <f t="shared" si="1"/>
        <v>4.7055586130984928E-2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230"/>
      <c r="W25" s="132">
        <v>42765</v>
      </c>
      <c r="X25" s="10">
        <v>36.57</v>
      </c>
      <c r="Y25" s="10">
        <v>36.729999999999997</v>
      </c>
      <c r="Z25" s="10">
        <v>35.5</v>
      </c>
      <c r="AA25" s="10">
        <v>36.340000000000003</v>
      </c>
      <c r="AB25" s="94">
        <v>5214500</v>
      </c>
      <c r="AC25" s="10">
        <v>36.340000000000003</v>
      </c>
      <c r="AD25" s="2">
        <f t="shared" si="0"/>
        <v>1.2299999999999969</v>
      </c>
      <c r="AE25" s="137">
        <f t="shared" si="1"/>
        <v>-8.7288597926894473E-3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230"/>
      <c r="W26" s="132">
        <v>42762</v>
      </c>
      <c r="X26" s="10">
        <v>36.159999999999997</v>
      </c>
      <c r="Y26" s="10">
        <v>36.83</v>
      </c>
      <c r="Z26" s="10">
        <v>36.01</v>
      </c>
      <c r="AA26" s="10">
        <v>36.659999999999997</v>
      </c>
      <c r="AB26" s="94">
        <v>2950600</v>
      </c>
      <c r="AC26" s="10">
        <v>36.659999999999997</v>
      </c>
      <c r="AD26" s="2">
        <f t="shared" si="0"/>
        <v>0.82000000000000028</v>
      </c>
      <c r="AE26" s="137">
        <f t="shared" si="1"/>
        <v>1.5512465373961115E-2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230"/>
      <c r="W27" s="132">
        <v>42761</v>
      </c>
      <c r="X27" s="10">
        <v>36.54</v>
      </c>
      <c r="Y27" s="10">
        <v>36.590000000000003</v>
      </c>
      <c r="Z27" s="10">
        <v>35.83</v>
      </c>
      <c r="AA27" s="10">
        <v>36.1</v>
      </c>
      <c r="AB27" s="94">
        <v>3517400</v>
      </c>
      <c r="AC27" s="10">
        <v>36.1</v>
      </c>
      <c r="AD27" s="2">
        <f t="shared" si="0"/>
        <v>0.76000000000000512</v>
      </c>
      <c r="AE27" s="137">
        <f t="shared" si="1"/>
        <v>-1.0416666666666519E-2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230"/>
      <c r="W28" s="132">
        <v>42760</v>
      </c>
      <c r="X28" s="10">
        <v>36</v>
      </c>
      <c r="Y28" s="10">
        <v>36.64</v>
      </c>
      <c r="Z28" s="10">
        <v>35.979999999999997</v>
      </c>
      <c r="AA28" s="10">
        <v>36.479999999999997</v>
      </c>
      <c r="AB28" s="94">
        <v>5124900</v>
      </c>
      <c r="AC28" s="10">
        <v>36.479999999999997</v>
      </c>
      <c r="AD28" s="2">
        <f t="shared" si="0"/>
        <v>0.66000000000000369</v>
      </c>
      <c r="AE28" s="137">
        <f t="shared" si="1"/>
        <v>1.8709857581680867E-2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230"/>
      <c r="W29" s="132">
        <v>42759</v>
      </c>
      <c r="X29" s="10">
        <v>36.03</v>
      </c>
      <c r="Y29" s="10">
        <v>36.130000000000003</v>
      </c>
      <c r="Z29" s="10">
        <v>35.159999999999997</v>
      </c>
      <c r="AA29" s="10">
        <v>35.81</v>
      </c>
      <c r="AB29" s="94">
        <v>5067200</v>
      </c>
      <c r="AC29" s="10">
        <v>35.81</v>
      </c>
      <c r="AD29" s="2">
        <f t="shared" si="0"/>
        <v>0.97000000000000597</v>
      </c>
      <c r="AE29" s="137">
        <f t="shared" si="1"/>
        <v>-6.106022758812113E-3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230"/>
      <c r="W30" s="132">
        <v>42758</v>
      </c>
      <c r="X30" s="10">
        <v>36.869999999999997</v>
      </c>
      <c r="Y30" s="10">
        <v>37.19</v>
      </c>
      <c r="Z30" s="10">
        <v>35.82</v>
      </c>
      <c r="AA30" s="10">
        <v>36.03</v>
      </c>
      <c r="AB30" s="94">
        <v>4732200</v>
      </c>
      <c r="AC30" s="10">
        <v>36.03</v>
      </c>
      <c r="AD30" s="2">
        <f t="shared" si="0"/>
        <v>1.3699999999999974</v>
      </c>
      <c r="AE30" s="137">
        <f t="shared" si="1"/>
        <v>-2.8055031022390042E-2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230"/>
      <c r="W31" s="132">
        <v>42755</v>
      </c>
      <c r="X31" s="10">
        <v>36.93</v>
      </c>
      <c r="Y31" s="10">
        <v>37.35</v>
      </c>
      <c r="Z31" s="10">
        <v>36.799999999999997</v>
      </c>
      <c r="AA31" s="10">
        <v>37.07</v>
      </c>
      <c r="AB31" s="94">
        <v>3554200</v>
      </c>
      <c r="AC31" s="10">
        <v>37.07</v>
      </c>
      <c r="AD31" s="2">
        <f t="shared" si="0"/>
        <v>0.55000000000000426</v>
      </c>
      <c r="AE31" s="137">
        <f t="shared" si="1"/>
        <v>3.2476319350474014E-3</v>
      </c>
    </row>
    <row r="32" spans="1:31" x14ac:dyDescent="0.25">
      <c r="W32" s="132">
        <v>42754</v>
      </c>
      <c r="X32" s="10">
        <v>37.11</v>
      </c>
      <c r="Y32" s="10">
        <v>37.299999999999997</v>
      </c>
      <c r="Z32" s="10">
        <v>36.71</v>
      </c>
      <c r="AA32" s="10">
        <v>36.950000000000003</v>
      </c>
      <c r="AB32" s="94">
        <v>4062700</v>
      </c>
      <c r="AC32" s="10">
        <v>36.950000000000003</v>
      </c>
      <c r="AD32" s="2">
        <f t="shared" si="0"/>
        <v>0.58999999999999631</v>
      </c>
      <c r="AE32" s="137">
        <f t="shared" si="1"/>
        <v>-6.4533476741057694E-3</v>
      </c>
    </row>
    <row r="33" spans="1:31" x14ac:dyDescent="0.25">
      <c r="W33" s="132">
        <v>42753</v>
      </c>
      <c r="X33" s="10">
        <v>37.18</v>
      </c>
      <c r="Y33" s="10">
        <v>37.380000000000003</v>
      </c>
      <c r="Z33" s="10">
        <v>36.71</v>
      </c>
      <c r="AA33" s="10">
        <v>37.19</v>
      </c>
      <c r="AB33" s="94">
        <v>4247600</v>
      </c>
      <c r="AC33" s="10">
        <v>37.19</v>
      </c>
      <c r="AD33" s="2">
        <f t="shared" si="0"/>
        <v>0.67000000000000171</v>
      </c>
      <c r="AE33" s="137">
        <f t="shared" si="1"/>
        <v>3.2371189641218212E-3</v>
      </c>
    </row>
    <row r="34" spans="1:31" x14ac:dyDescent="0.25">
      <c r="W34" s="132">
        <v>42752</v>
      </c>
      <c r="X34" s="10">
        <v>36.86</v>
      </c>
      <c r="Y34" s="10">
        <v>37.36</v>
      </c>
      <c r="Z34" s="10">
        <v>36.450000000000003</v>
      </c>
      <c r="AA34" s="10">
        <v>37.07</v>
      </c>
      <c r="AB34" s="94">
        <v>4540500</v>
      </c>
      <c r="AC34" s="10">
        <v>37.07</v>
      </c>
      <c r="AD34" s="2">
        <f t="shared" si="0"/>
        <v>0.90999999999999659</v>
      </c>
      <c r="AE34" s="137">
        <f t="shared" si="1"/>
        <v>9.2567383610129284E-3</v>
      </c>
    </row>
    <row r="35" spans="1:31" x14ac:dyDescent="0.25">
      <c r="L35" t="s">
        <v>212</v>
      </c>
      <c r="M35" s="2">
        <f>K53+M53-F53</f>
        <v>439.77999999999975</v>
      </c>
      <c r="W35" s="132">
        <v>42748</v>
      </c>
      <c r="X35" s="10">
        <v>36.79</v>
      </c>
      <c r="Y35" s="10">
        <v>37.020000000000003</v>
      </c>
      <c r="Z35" s="10">
        <v>36.35</v>
      </c>
      <c r="AA35" s="10">
        <v>36.729999999999997</v>
      </c>
      <c r="AB35" s="94">
        <v>5031400</v>
      </c>
      <c r="AC35" s="10">
        <v>36.729999999999997</v>
      </c>
      <c r="AD35" s="2">
        <f t="shared" si="0"/>
        <v>0.67000000000000171</v>
      </c>
      <c r="AE35" s="137">
        <f t="shared" si="1"/>
        <v>-1.0878433505576712E-3</v>
      </c>
    </row>
    <row r="36" spans="1:31" x14ac:dyDescent="0.25">
      <c r="A36" s="384" t="s">
        <v>1</v>
      </c>
      <c r="B36" s="384" t="s">
        <v>2</v>
      </c>
      <c r="C36" s="384" t="s">
        <v>4</v>
      </c>
      <c r="D36" s="386" t="s">
        <v>5</v>
      </c>
      <c r="E36" s="386" t="s">
        <v>94</v>
      </c>
      <c r="F36" s="386" t="s">
        <v>60</v>
      </c>
      <c r="G36" s="384" t="s">
        <v>3</v>
      </c>
      <c r="H36" s="384" t="s">
        <v>6</v>
      </c>
      <c r="I36" s="384" t="s">
        <v>7</v>
      </c>
      <c r="J36" s="384" t="s">
        <v>95</v>
      </c>
      <c r="K36" s="386" t="s">
        <v>61</v>
      </c>
      <c r="L36" s="384" t="s">
        <v>77</v>
      </c>
      <c r="M36" s="384" t="s">
        <v>38</v>
      </c>
      <c r="W36" s="132">
        <v>42747</v>
      </c>
      <c r="X36" s="10">
        <v>37.44</v>
      </c>
      <c r="Y36" s="10">
        <v>37.44</v>
      </c>
      <c r="Z36" s="10">
        <v>36.17</v>
      </c>
      <c r="AA36" s="10">
        <v>36.770000000000003</v>
      </c>
      <c r="AB36" s="94">
        <v>7165400</v>
      </c>
      <c r="AC36" s="10">
        <v>36.770000000000003</v>
      </c>
      <c r="AD36" s="2">
        <f t="shared" si="0"/>
        <v>1.269999999999996</v>
      </c>
      <c r="AE36" s="137">
        <f t="shared" si="1"/>
        <v>-1.3680257510729543E-2</v>
      </c>
    </row>
    <row r="37" spans="1:31" x14ac:dyDescent="0.25">
      <c r="A37" s="387" t="s">
        <v>207</v>
      </c>
      <c r="B37" s="377">
        <v>42502</v>
      </c>
      <c r="C37" s="378">
        <v>60</v>
      </c>
      <c r="D37" s="379">
        <v>38.25</v>
      </c>
      <c r="E37" s="379">
        <v>0</v>
      </c>
      <c r="F37" s="379">
        <f>C37*D37 + E37</f>
        <v>2295</v>
      </c>
      <c r="G37" s="377">
        <v>42528</v>
      </c>
      <c r="H37" s="382">
        <v>30</v>
      </c>
      <c r="I37" s="379">
        <v>45.25</v>
      </c>
      <c r="J37" s="379">
        <v>0.03</v>
      </c>
      <c r="K37" s="379">
        <f>H37*I37 - J37</f>
        <v>1357.47</v>
      </c>
      <c r="L37" s="378"/>
      <c r="M37" s="378"/>
      <c r="W37" s="132">
        <v>42746</v>
      </c>
      <c r="X37" s="10">
        <v>39.549999999999997</v>
      </c>
      <c r="Y37" s="10">
        <v>39.58</v>
      </c>
      <c r="Z37" s="10">
        <v>37.08</v>
      </c>
      <c r="AA37" s="10">
        <v>37.28</v>
      </c>
      <c r="AB37" s="94">
        <v>11748800</v>
      </c>
      <c r="AC37" s="10">
        <v>37.28</v>
      </c>
      <c r="AD37" s="2">
        <f t="shared" si="0"/>
        <v>2.5</v>
      </c>
      <c r="AE37" s="137">
        <f t="shared" si="1"/>
        <v>-4.2875481386392855E-2</v>
      </c>
    </row>
    <row r="38" spans="1:31" x14ac:dyDescent="0.25">
      <c r="A38" s="388" t="s">
        <v>71</v>
      </c>
      <c r="B38" s="389"/>
      <c r="C38" s="378"/>
      <c r="D38" s="379"/>
      <c r="E38" s="379"/>
      <c r="F38" s="379"/>
      <c r="G38" s="377">
        <v>42544</v>
      </c>
      <c r="H38" s="382">
        <v>30</v>
      </c>
      <c r="I38" s="379">
        <v>45.91</v>
      </c>
      <c r="J38" s="379">
        <v>-0.01</v>
      </c>
      <c r="K38" s="379">
        <f>H38*I38 - J38</f>
        <v>1377.31</v>
      </c>
      <c r="L38" s="378"/>
      <c r="M38" s="378"/>
      <c r="W38" s="132">
        <v>42745</v>
      </c>
      <c r="X38" s="10">
        <v>39.229999999999997</v>
      </c>
      <c r="Y38" s="10">
        <v>39.369999999999997</v>
      </c>
      <c r="Z38" s="10">
        <v>38.67</v>
      </c>
      <c r="AA38" s="10">
        <v>38.950000000000003</v>
      </c>
      <c r="AB38" s="94">
        <v>3409800</v>
      </c>
      <c r="AC38" s="10">
        <v>38.950000000000003</v>
      </c>
      <c r="AD38" s="2">
        <f t="shared" si="0"/>
        <v>0.69999999999999574</v>
      </c>
      <c r="AE38" s="137">
        <f t="shared" si="1"/>
        <v>0</v>
      </c>
    </row>
    <row r="39" spans="1:31" x14ac:dyDescent="0.25">
      <c r="A39" s="378"/>
      <c r="B39" s="389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42744</v>
      </c>
      <c r="X39" s="10">
        <v>38.5</v>
      </c>
      <c r="Y39" s="10">
        <v>39.130000000000003</v>
      </c>
      <c r="Z39" s="10">
        <v>38.409999999999997</v>
      </c>
      <c r="AA39" s="10">
        <v>38.950000000000003</v>
      </c>
      <c r="AB39" s="94">
        <v>3382200</v>
      </c>
      <c r="AC39" s="10">
        <v>38.950000000000003</v>
      </c>
      <c r="AD39" s="2">
        <f t="shared" si="0"/>
        <v>0.72000000000000597</v>
      </c>
      <c r="AE39" s="137">
        <f t="shared" si="1"/>
        <v>1.1688311688311748E-2</v>
      </c>
    </row>
    <row r="40" spans="1:31" x14ac:dyDescent="0.25">
      <c r="A40" s="378"/>
      <c r="B40" s="377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42741</v>
      </c>
      <c r="X40" s="10">
        <v>38.869999999999997</v>
      </c>
      <c r="Y40" s="10">
        <v>39.08</v>
      </c>
      <c r="Z40" s="10">
        <v>37.950000000000003</v>
      </c>
      <c r="AA40" s="10">
        <v>38.5</v>
      </c>
      <c r="AB40" s="94">
        <v>5640000</v>
      </c>
      <c r="AC40" s="10">
        <v>38.5</v>
      </c>
      <c r="AD40" s="2">
        <f t="shared" si="0"/>
        <v>1.1299999999999955</v>
      </c>
      <c r="AE40" s="137">
        <f t="shared" si="1"/>
        <v>-1.6853932584269593E-2</v>
      </c>
    </row>
    <row r="41" spans="1:31" x14ac:dyDescent="0.25">
      <c r="A41" s="378"/>
      <c r="B41" s="389"/>
      <c r="C41" s="378"/>
      <c r="D41" s="379"/>
      <c r="E41" s="379"/>
      <c r="F41" s="379"/>
      <c r="G41" s="377"/>
      <c r="H41" s="382"/>
      <c r="I41" s="379"/>
      <c r="J41" s="379"/>
      <c r="K41" s="379"/>
      <c r="L41" s="378"/>
      <c r="M41" s="378"/>
      <c r="W41" s="132">
        <v>42740</v>
      </c>
      <c r="X41" s="10">
        <v>38.950000000000003</v>
      </c>
      <c r="Y41" s="10">
        <v>39.47</v>
      </c>
      <c r="Z41" s="10">
        <v>38.770000000000003</v>
      </c>
      <c r="AA41" s="10">
        <v>39.159999999999997</v>
      </c>
      <c r="AB41" s="94">
        <v>5799300</v>
      </c>
      <c r="AC41" s="10">
        <v>39.159999999999997</v>
      </c>
      <c r="AD41" s="2">
        <f t="shared" si="0"/>
        <v>0.69999999999999574</v>
      </c>
      <c r="AE41" s="137">
        <f t="shared" si="1"/>
        <v>-1.1859702245773596E-2</v>
      </c>
    </row>
    <row r="42" spans="1:31" ht="20.25" thickBot="1" x14ac:dyDescent="0.35">
      <c r="A42" s="378"/>
      <c r="B42" s="389"/>
      <c r="C42" s="378"/>
      <c r="D42" s="379"/>
      <c r="E42" s="379"/>
      <c r="F42" s="379"/>
      <c r="G42" s="377"/>
      <c r="H42" s="382"/>
      <c r="I42" s="379"/>
      <c r="J42" s="379"/>
      <c r="K42" s="379"/>
      <c r="L42" s="378"/>
      <c r="M42" s="378"/>
      <c r="O42" s="703" t="s">
        <v>78</v>
      </c>
      <c r="P42" s="703"/>
      <c r="T42" s="111" t="s">
        <v>113</v>
      </c>
      <c r="U42" s="9"/>
      <c r="W42" s="132">
        <v>42739</v>
      </c>
      <c r="X42" s="10">
        <v>39.32</v>
      </c>
      <c r="Y42" s="10">
        <v>40.08</v>
      </c>
      <c r="Z42" s="10">
        <v>39.25</v>
      </c>
      <c r="AA42" s="10">
        <v>39.630000000000003</v>
      </c>
      <c r="AB42" s="94">
        <v>6490300</v>
      </c>
      <c r="AC42" s="10">
        <v>39.630000000000003</v>
      </c>
      <c r="AD42" s="2">
        <f t="shared" si="0"/>
        <v>0.82999999999999829</v>
      </c>
      <c r="AE42" s="137">
        <f t="shared" si="1"/>
        <v>1.329583226796216E-2</v>
      </c>
    </row>
    <row r="43" spans="1:31" ht="15.75" thickTop="1" x14ac:dyDescent="0.25">
      <c r="A43" s="378"/>
      <c r="B43" s="377"/>
      <c r="C43" s="378"/>
      <c r="D43" s="379"/>
      <c r="E43" s="379"/>
      <c r="F43" s="379"/>
      <c r="G43" s="377"/>
      <c r="H43" s="382"/>
      <c r="I43" s="379"/>
      <c r="J43" s="379"/>
      <c r="K43" s="379"/>
      <c r="L43" s="378"/>
      <c r="M43" s="378"/>
      <c r="O43" s="82">
        <v>1.1000000000000001</v>
      </c>
      <c r="P43" s="82">
        <f>O43*$Q$4</f>
        <v>47.74</v>
      </c>
      <c r="Q43" s="2"/>
      <c r="T43" s="138" t="s">
        <v>98</v>
      </c>
      <c r="U43" s="364">
        <v>45.28</v>
      </c>
      <c r="W43" s="132">
        <v>42738</v>
      </c>
      <c r="X43" s="10">
        <v>38.479999999999997</v>
      </c>
      <c r="Y43" s="10">
        <v>39.28</v>
      </c>
      <c r="Z43" s="10">
        <v>38.42</v>
      </c>
      <c r="AA43" s="10">
        <v>39.11</v>
      </c>
      <c r="AB43" s="94">
        <v>5030200</v>
      </c>
      <c r="AC43" s="10">
        <v>39.11</v>
      </c>
      <c r="AD43" s="2">
        <f t="shared" si="0"/>
        <v>0.85999999999999943</v>
      </c>
      <c r="AE43" s="137">
        <f t="shared" si="1"/>
        <v>2.5163826998689354E-2</v>
      </c>
    </row>
    <row r="44" spans="1:31" x14ac:dyDescent="0.25">
      <c r="A44" s="378"/>
      <c r="B44" s="377"/>
      <c r="C44" s="378"/>
      <c r="D44" s="379"/>
      <c r="E44" s="379"/>
      <c r="F44" s="379"/>
      <c r="G44" s="377"/>
      <c r="H44" s="382"/>
      <c r="I44" s="379"/>
      <c r="J44" s="379"/>
      <c r="K44" s="379"/>
      <c r="L44" s="378"/>
      <c r="M44" s="378"/>
      <c r="O44" s="82">
        <v>1.0900000000000001</v>
      </c>
      <c r="P44" s="82">
        <f t="shared" ref="P44:P63" si="3">O44*$Q$4</f>
        <v>47.306000000000004</v>
      </c>
      <c r="Q44" s="2"/>
      <c r="T44" s="107" t="s">
        <v>99</v>
      </c>
      <c r="U44" s="365">
        <v>45.21</v>
      </c>
      <c r="W44" s="132">
        <v>42734</v>
      </c>
      <c r="X44" s="10">
        <v>37.979999999999997</v>
      </c>
      <c r="Y44" s="10">
        <v>38.79</v>
      </c>
      <c r="Z44" s="10">
        <v>37.840000000000003</v>
      </c>
      <c r="AA44" s="10">
        <v>38.15</v>
      </c>
      <c r="AB44" s="94">
        <v>6311000</v>
      </c>
      <c r="AC44" s="10">
        <v>38.15</v>
      </c>
      <c r="AD44" s="2">
        <f t="shared" si="0"/>
        <v>0.94999999999999574</v>
      </c>
      <c r="AE44" s="137">
        <f t="shared" si="1"/>
        <v>2.0599250936329527E-2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78"/>
      <c r="I45" s="378"/>
      <c r="J45" s="378"/>
      <c r="K45" s="379"/>
      <c r="L45" s="378"/>
      <c r="M45" s="378"/>
      <c r="O45" s="82">
        <v>1.08</v>
      </c>
      <c r="P45" s="82">
        <f t="shared" si="3"/>
        <v>46.872</v>
      </c>
      <c r="Q45" s="2"/>
      <c r="T45" s="107" t="s">
        <v>100</v>
      </c>
      <c r="U45" s="365" t="s">
        <v>588</v>
      </c>
      <c r="W45" s="132">
        <v>42733</v>
      </c>
      <c r="X45" s="10">
        <v>37.47</v>
      </c>
      <c r="Y45" s="10">
        <v>38</v>
      </c>
      <c r="Z45" s="10">
        <v>37.18</v>
      </c>
      <c r="AA45" s="10">
        <v>37.380000000000003</v>
      </c>
      <c r="AB45" s="94">
        <v>3529600</v>
      </c>
      <c r="AC45" s="10">
        <v>37.380000000000003</v>
      </c>
      <c r="AD45" s="2">
        <f t="shared" si="0"/>
        <v>0.82000000000000028</v>
      </c>
      <c r="AE45" s="137">
        <f t="shared" si="1"/>
        <v>4.5686643375437708E-3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78"/>
      <c r="I46" s="378"/>
      <c r="J46" s="378"/>
      <c r="K46" s="379"/>
      <c r="L46" s="378"/>
      <c r="M46" s="378"/>
      <c r="O46" s="82">
        <v>1.07</v>
      </c>
      <c r="P46" s="82">
        <f t="shared" si="3"/>
        <v>46.438000000000002</v>
      </c>
      <c r="Q46" s="2"/>
      <c r="T46" s="107" t="s">
        <v>101</v>
      </c>
      <c r="U46" s="365" t="s">
        <v>589</v>
      </c>
      <c r="W46" s="132">
        <v>42732</v>
      </c>
      <c r="X46" s="10">
        <v>37.69</v>
      </c>
      <c r="Y46" s="10">
        <v>37.79</v>
      </c>
      <c r="Z46" s="10">
        <v>36.9</v>
      </c>
      <c r="AA46" s="10">
        <v>37.21</v>
      </c>
      <c r="AB46" s="94">
        <v>5514800</v>
      </c>
      <c r="AC46" s="10">
        <v>37.21</v>
      </c>
      <c r="AD46" s="2">
        <f t="shared" si="0"/>
        <v>0.89000000000000057</v>
      </c>
      <c r="AE46" s="137">
        <f t="shared" si="1"/>
        <v>-9.8456625864821179E-3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78"/>
      <c r="I47" s="378"/>
      <c r="J47" s="378"/>
      <c r="K47" s="379"/>
      <c r="L47" s="378"/>
      <c r="M47" s="378"/>
      <c r="O47" s="82">
        <v>1.06</v>
      </c>
      <c r="P47" s="82">
        <f t="shared" si="3"/>
        <v>46.003999999999998</v>
      </c>
      <c r="Q47" s="2"/>
      <c r="T47" s="107" t="s">
        <v>102</v>
      </c>
      <c r="U47" s="365">
        <v>50.32</v>
      </c>
      <c r="W47" s="132">
        <v>42731</v>
      </c>
      <c r="X47" s="10">
        <v>37.479999999999997</v>
      </c>
      <c r="Y47" s="10">
        <v>38.24</v>
      </c>
      <c r="Z47" s="10">
        <v>37.46</v>
      </c>
      <c r="AA47" s="10">
        <v>37.58</v>
      </c>
      <c r="AB47" s="94">
        <v>3860100</v>
      </c>
      <c r="AC47" s="10">
        <v>37.58</v>
      </c>
      <c r="AD47" s="2">
        <f t="shared" si="0"/>
        <v>0.78000000000000114</v>
      </c>
      <c r="AE47" s="137">
        <f t="shared" si="1"/>
        <v>2.1333333333333204E-3</v>
      </c>
    </row>
    <row r="48" spans="1:31" x14ac:dyDescent="0.25">
      <c r="A48" s="378"/>
      <c r="B48" s="377"/>
      <c r="C48" s="378"/>
      <c r="D48" s="379"/>
      <c r="E48" s="379"/>
      <c r="F48" s="379"/>
      <c r="G48" s="377"/>
      <c r="H48" s="378"/>
      <c r="I48" s="379"/>
      <c r="J48" s="378"/>
      <c r="K48" s="379"/>
      <c r="L48" s="378"/>
      <c r="M48" s="378"/>
      <c r="O48" s="82">
        <v>1.05</v>
      </c>
      <c r="P48" s="82">
        <f t="shared" si="3"/>
        <v>45.57</v>
      </c>
      <c r="Q48" s="2"/>
      <c r="T48" s="107" t="s">
        <v>103</v>
      </c>
      <c r="U48" s="365">
        <v>1.4483900000000001</v>
      </c>
      <c r="W48" s="132">
        <v>42727</v>
      </c>
      <c r="X48" s="10">
        <v>37.26</v>
      </c>
      <c r="Y48" s="10">
        <v>37.549999999999997</v>
      </c>
      <c r="Z48" s="10">
        <v>37.200000000000003</v>
      </c>
      <c r="AA48" s="10">
        <v>37.5</v>
      </c>
      <c r="AB48" s="94">
        <v>2077700</v>
      </c>
      <c r="AC48" s="10">
        <v>37.5</v>
      </c>
      <c r="AD48" s="2">
        <f t="shared" si="0"/>
        <v>0.34999999999999432</v>
      </c>
      <c r="AE48" s="137">
        <f t="shared" si="1"/>
        <v>5.0924685071025433E-3</v>
      </c>
    </row>
    <row r="49" spans="1:31" x14ac:dyDescent="0.25">
      <c r="A49" s="378"/>
      <c r="B49" s="377"/>
      <c r="C49" s="378"/>
      <c r="D49" s="379"/>
      <c r="E49" s="379"/>
      <c r="F49" s="379"/>
      <c r="G49" s="377"/>
      <c r="H49" s="378"/>
      <c r="I49" s="378"/>
      <c r="J49" s="378"/>
      <c r="K49" s="379"/>
      <c r="L49" s="378"/>
      <c r="M49" s="378"/>
      <c r="O49" s="82">
        <v>1.04</v>
      </c>
      <c r="P49" s="82">
        <f t="shared" si="3"/>
        <v>45.136000000000003</v>
      </c>
      <c r="Q49" s="2"/>
      <c r="T49" s="107" t="s">
        <v>104</v>
      </c>
      <c r="U49" s="365" t="s">
        <v>129</v>
      </c>
      <c r="W49" s="132">
        <v>42726</v>
      </c>
      <c r="X49" s="10">
        <v>37.39</v>
      </c>
      <c r="Y49" s="10">
        <v>37.81</v>
      </c>
      <c r="Z49" s="10">
        <v>37.130000000000003</v>
      </c>
      <c r="AA49" s="10">
        <v>37.31</v>
      </c>
      <c r="AB49" s="94">
        <v>3122900</v>
      </c>
      <c r="AC49" s="10">
        <v>37.31</v>
      </c>
      <c r="AD49" s="2">
        <f t="shared" si="0"/>
        <v>0.67999999999999972</v>
      </c>
      <c r="AE49" s="137">
        <f t="shared" si="1"/>
        <v>-5.5970149253731227E-3</v>
      </c>
    </row>
    <row r="50" spans="1:31" x14ac:dyDescent="0.25">
      <c r="A50" s="378"/>
      <c r="B50" s="378"/>
      <c r="C50" s="378"/>
      <c r="D50" s="379"/>
      <c r="E50" s="379"/>
      <c r="F50" s="379"/>
      <c r="G50" s="377"/>
      <c r="H50" s="378"/>
      <c r="I50" s="378"/>
      <c r="J50" s="378"/>
      <c r="K50" s="379"/>
      <c r="L50" s="378"/>
      <c r="M50" s="378"/>
      <c r="O50" s="82">
        <v>1.03</v>
      </c>
      <c r="P50" s="82">
        <f t="shared" si="3"/>
        <v>44.701999999999998</v>
      </c>
      <c r="Q50" s="2"/>
      <c r="T50" s="107"/>
      <c r="U50" s="365"/>
      <c r="W50" s="132">
        <v>42725</v>
      </c>
      <c r="X50" s="10">
        <v>37.4</v>
      </c>
      <c r="Y50" s="10">
        <v>37.89</v>
      </c>
      <c r="Z50" s="10">
        <v>37.049999999999997</v>
      </c>
      <c r="AA50" s="10">
        <v>37.520000000000003</v>
      </c>
      <c r="AB50" s="94">
        <v>4093000</v>
      </c>
      <c r="AC50" s="10">
        <v>37.520000000000003</v>
      </c>
      <c r="AD50" s="2">
        <f t="shared" si="0"/>
        <v>0.84000000000000341</v>
      </c>
      <c r="AE50" s="137">
        <f t="shared" si="1"/>
        <v>6.1678734245107503E-3</v>
      </c>
    </row>
    <row r="51" spans="1:31" x14ac:dyDescent="0.25">
      <c r="A51" s="378"/>
      <c r="B51" s="378"/>
      <c r="C51" s="378"/>
      <c r="D51" s="379"/>
      <c r="E51" s="379"/>
      <c r="F51" s="379"/>
      <c r="G51" s="377"/>
      <c r="H51" s="378"/>
      <c r="I51" s="378"/>
      <c r="J51" s="378"/>
      <c r="K51" s="379"/>
      <c r="L51" s="378"/>
      <c r="M51" s="378"/>
      <c r="O51" s="82">
        <v>1.02</v>
      </c>
      <c r="P51" s="82">
        <f t="shared" si="3"/>
        <v>44.268000000000001</v>
      </c>
      <c r="Q51" s="2"/>
      <c r="T51" s="107" t="s">
        <v>105</v>
      </c>
      <c r="U51" s="365" t="s">
        <v>590</v>
      </c>
      <c r="W51" s="132">
        <v>42724</v>
      </c>
      <c r="X51" s="10">
        <v>37.56</v>
      </c>
      <c r="Y51" s="10">
        <v>37.83</v>
      </c>
      <c r="Z51" s="10">
        <v>37.14</v>
      </c>
      <c r="AA51" s="10">
        <v>37.29</v>
      </c>
      <c r="AB51" s="94">
        <v>2479900</v>
      </c>
      <c r="AC51" s="10">
        <v>37.29</v>
      </c>
      <c r="AD51" s="2">
        <f t="shared" si="0"/>
        <v>0.68999999999999773</v>
      </c>
      <c r="AE51" s="137">
        <f t="shared" si="1"/>
        <v>-5.3347559349160578E-3</v>
      </c>
    </row>
    <row r="52" spans="1:31" x14ac:dyDescent="0.25">
      <c r="A52" s="378"/>
      <c r="B52" s="378"/>
      <c r="C52" s="378"/>
      <c r="D52" s="379"/>
      <c r="E52" s="379"/>
      <c r="F52" s="379"/>
      <c r="G52" s="377"/>
      <c r="H52" s="378"/>
      <c r="I52" s="378"/>
      <c r="J52" s="378"/>
      <c r="K52" s="379"/>
      <c r="L52" s="378"/>
      <c r="M52" s="378"/>
      <c r="O52" s="82">
        <v>1.01</v>
      </c>
      <c r="P52" s="82">
        <f t="shared" si="3"/>
        <v>43.833999999999996</v>
      </c>
      <c r="Q52" s="2"/>
      <c r="T52" s="107" t="s">
        <v>106</v>
      </c>
      <c r="U52" s="365" t="s">
        <v>467</v>
      </c>
      <c r="W52" s="132">
        <v>42723</v>
      </c>
      <c r="X52" s="10">
        <v>37.630000000000003</v>
      </c>
      <c r="Y52" s="10">
        <v>38.29</v>
      </c>
      <c r="Z52" s="10">
        <v>37.380000000000003</v>
      </c>
      <c r="AA52" s="10">
        <v>37.49</v>
      </c>
      <c r="AB52" s="94">
        <v>2723600</v>
      </c>
      <c r="AC52" s="10">
        <v>37.49</v>
      </c>
      <c r="AD52" s="2">
        <f t="shared" si="0"/>
        <v>0.90999999999999659</v>
      </c>
      <c r="AE52" s="137">
        <f t="shared" si="1"/>
        <v>-8.7255420412479801E-3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43.4</v>
      </c>
      <c r="Q53" s="2"/>
      <c r="T53" s="107" t="s">
        <v>107</v>
      </c>
      <c r="U53" s="366">
        <v>5382298</v>
      </c>
      <c r="W53" s="132">
        <v>42720</v>
      </c>
      <c r="X53" s="10">
        <v>38.090000000000003</v>
      </c>
      <c r="Y53" s="10">
        <v>38.229999999999997</v>
      </c>
      <c r="Z53" s="10">
        <v>37.630000000000003</v>
      </c>
      <c r="AA53" s="10">
        <v>37.82</v>
      </c>
      <c r="AB53" s="94">
        <v>6506700</v>
      </c>
      <c r="AC53" s="10">
        <v>37.82</v>
      </c>
      <c r="AD53" s="2">
        <f t="shared" si="0"/>
        <v>0.59999999999999432</v>
      </c>
      <c r="AE53" s="137">
        <f t="shared" si="1"/>
        <v>1.5889830508475367E-3</v>
      </c>
    </row>
    <row r="54" spans="1:31" x14ac:dyDescent="0.25">
      <c r="O54" s="82">
        <v>0.99</v>
      </c>
      <c r="P54" s="82">
        <f t="shared" si="3"/>
        <v>42.966000000000001</v>
      </c>
      <c r="Q54" s="2"/>
      <c r="T54" s="107" t="s">
        <v>110</v>
      </c>
      <c r="U54" s="366">
        <v>5569430</v>
      </c>
      <c r="W54" s="132">
        <v>42719</v>
      </c>
      <c r="X54" s="10">
        <v>37.64</v>
      </c>
      <c r="Y54" s="10">
        <v>38.1</v>
      </c>
      <c r="Z54" s="10">
        <v>37.32</v>
      </c>
      <c r="AA54" s="10">
        <v>37.76</v>
      </c>
      <c r="AB54" s="94">
        <v>4589800</v>
      </c>
      <c r="AC54" s="10">
        <v>37.76</v>
      </c>
      <c r="AD54" s="2">
        <f t="shared" si="0"/>
        <v>0.78000000000000114</v>
      </c>
      <c r="AE54" s="137">
        <f t="shared" si="1"/>
        <v>1.8572565667285268E-3</v>
      </c>
    </row>
    <row r="55" spans="1:31" x14ac:dyDescent="0.25">
      <c r="B55" s="190" t="s">
        <v>114</v>
      </c>
      <c r="C55" s="190" t="s">
        <v>147</v>
      </c>
      <c r="D55" s="191" t="s">
        <v>146</v>
      </c>
      <c r="E55" s="193" t="s">
        <v>148</v>
      </c>
      <c r="F55" s="194" t="s">
        <v>65</v>
      </c>
      <c r="G55" s="228" t="s">
        <v>152</v>
      </c>
      <c r="H55" s="194" t="s">
        <v>88</v>
      </c>
      <c r="I55" s="194" t="s">
        <v>155</v>
      </c>
      <c r="O55" s="82">
        <v>0.98</v>
      </c>
      <c r="P55" s="82">
        <f t="shared" si="3"/>
        <v>42.531999999999996</v>
      </c>
      <c r="Q55" s="2"/>
      <c r="T55" s="107" t="s">
        <v>108</v>
      </c>
      <c r="U55" s="365" t="s">
        <v>591</v>
      </c>
      <c r="W55" s="132">
        <v>42718</v>
      </c>
      <c r="X55" s="10">
        <v>38.15</v>
      </c>
      <c r="Y55" s="10">
        <v>38.17</v>
      </c>
      <c r="Z55" s="10">
        <v>37.130000000000003</v>
      </c>
      <c r="AA55" s="10">
        <v>37.69</v>
      </c>
      <c r="AB55" s="94">
        <v>5788500</v>
      </c>
      <c r="AC55" s="10">
        <v>37.69</v>
      </c>
      <c r="AD55" s="2">
        <f t="shared" si="0"/>
        <v>1.0399999999999991</v>
      </c>
      <c r="AE55" s="137">
        <f t="shared" si="1"/>
        <v>-1.5926892950391625E-2</v>
      </c>
    </row>
    <row r="56" spans="1:31" x14ac:dyDescent="0.25">
      <c r="B56" s="192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0">
        <f>(E56-D56)/D56</f>
        <v>7.241830065359485E-2</v>
      </c>
      <c r="I56" s="230"/>
      <c r="O56" s="82">
        <v>0.97</v>
      </c>
      <c r="P56" s="82">
        <f t="shared" si="3"/>
        <v>42.097999999999999</v>
      </c>
      <c r="T56" s="107" t="s">
        <v>111</v>
      </c>
      <c r="U56" s="365">
        <v>90.54</v>
      </c>
      <c r="W56" s="132">
        <v>42717</v>
      </c>
      <c r="X56" s="10">
        <v>37.700000000000003</v>
      </c>
      <c r="Y56" s="10">
        <v>38.450000000000003</v>
      </c>
      <c r="Z56" s="10">
        <v>37.64</v>
      </c>
      <c r="AA56" s="10">
        <v>38.299999999999997</v>
      </c>
      <c r="AB56" s="94">
        <v>7002200</v>
      </c>
      <c r="AC56" s="10">
        <v>38.299999999999997</v>
      </c>
      <c r="AD56" s="2">
        <f t="shared" si="0"/>
        <v>0.81000000000000227</v>
      </c>
      <c r="AE56" s="137">
        <f t="shared" si="1"/>
        <v>3.1510907621868922E-2</v>
      </c>
    </row>
    <row r="57" spans="1:31" x14ac:dyDescent="0.25">
      <c r="B57" s="192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0">
        <f>(E57-D57)/D57</f>
        <v>9.9084967320261411E-2</v>
      </c>
      <c r="I57" s="230"/>
      <c r="O57" s="82">
        <v>0.96</v>
      </c>
      <c r="P57" s="82">
        <f t="shared" si="3"/>
        <v>41.663999999999994</v>
      </c>
      <c r="T57" s="107" t="s">
        <v>112</v>
      </c>
      <c r="U57" s="365">
        <v>0.5</v>
      </c>
      <c r="W57" s="132">
        <v>42716</v>
      </c>
      <c r="X57" s="10">
        <v>36.69</v>
      </c>
      <c r="Y57" s="10">
        <v>37.299999999999997</v>
      </c>
      <c r="Z57" s="10">
        <v>36.35</v>
      </c>
      <c r="AA57" s="10">
        <v>37.130000000000003</v>
      </c>
      <c r="AB57" s="94">
        <v>4873500</v>
      </c>
      <c r="AC57" s="10">
        <v>37.130000000000003</v>
      </c>
      <c r="AD57" s="2">
        <f t="shared" si="0"/>
        <v>0.94999999999999574</v>
      </c>
      <c r="AE57" s="137">
        <f t="shared" si="1"/>
        <v>1.6981648863325205E-2</v>
      </c>
    </row>
    <row r="58" spans="1:31" x14ac:dyDescent="0.25">
      <c r="B58" s="192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0">
        <f>(E58-D58)/D58</f>
        <v>0.21620915032679747</v>
      </c>
      <c r="I58" s="230"/>
      <c r="O58" s="82">
        <v>0.95</v>
      </c>
      <c r="P58" s="82">
        <f t="shared" si="3"/>
        <v>41.23</v>
      </c>
      <c r="T58" s="107" t="s">
        <v>109</v>
      </c>
      <c r="U58" s="365" t="s">
        <v>123</v>
      </c>
      <c r="W58" s="132">
        <v>42713</v>
      </c>
      <c r="X58" s="10">
        <v>36.08</v>
      </c>
      <c r="Y58" s="10">
        <v>37.15</v>
      </c>
      <c r="Z58" s="10">
        <v>36.07</v>
      </c>
      <c r="AA58" s="10">
        <v>36.51</v>
      </c>
      <c r="AB58" s="94">
        <v>6117200</v>
      </c>
      <c r="AC58" s="10">
        <v>36.51</v>
      </c>
      <c r="AD58" s="2">
        <f t="shared" si="0"/>
        <v>1.0799999999999983</v>
      </c>
      <c r="AE58" s="137">
        <f t="shared" si="1"/>
        <v>1.2479201331114798E-2</v>
      </c>
    </row>
    <row r="59" spans="1:31" x14ac:dyDescent="0.25">
      <c r="B59" s="192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0">
        <f>(E59-D59)/D59</f>
        <v>0.4431538190777895</v>
      </c>
      <c r="I59" s="230"/>
      <c r="O59" s="82">
        <v>0.94</v>
      </c>
      <c r="P59" s="82">
        <f t="shared" si="3"/>
        <v>40.795999999999999</v>
      </c>
      <c r="W59" s="132">
        <v>42712</v>
      </c>
      <c r="X59" s="10">
        <v>34.5</v>
      </c>
      <c r="Y59" s="10">
        <v>36.08</v>
      </c>
      <c r="Z59" s="10">
        <v>34.24</v>
      </c>
      <c r="AA59" s="10">
        <v>36.06</v>
      </c>
      <c r="AB59" s="94">
        <v>9093500</v>
      </c>
      <c r="AC59" s="10">
        <v>36.06</v>
      </c>
      <c r="AD59" s="2">
        <f t="shared" si="0"/>
        <v>1.8399999999999963</v>
      </c>
      <c r="AE59" s="137">
        <f t="shared" si="1"/>
        <v>4.5217391304347876E-2</v>
      </c>
    </row>
    <row r="60" spans="1:31" x14ac:dyDescent="0.25">
      <c r="B60" s="192">
        <v>42544</v>
      </c>
      <c r="C60" s="10">
        <v>0</v>
      </c>
      <c r="D60" s="40"/>
      <c r="E60" s="40">
        <v>46.16</v>
      </c>
      <c r="F60" s="40">
        <v>439.78</v>
      </c>
      <c r="G60" s="40"/>
      <c r="H60" s="230"/>
      <c r="I60" s="230"/>
      <c r="O60" s="82">
        <v>0.93</v>
      </c>
      <c r="P60" s="82">
        <f t="shared" si="3"/>
        <v>40.362000000000002</v>
      </c>
      <c r="W60" s="132">
        <v>42711</v>
      </c>
      <c r="X60" s="10">
        <v>35.520000000000003</v>
      </c>
      <c r="Y60" s="10">
        <v>35.520000000000003</v>
      </c>
      <c r="Z60" s="10">
        <v>33.79</v>
      </c>
      <c r="AA60" s="10">
        <v>34.5</v>
      </c>
      <c r="AB60" s="94">
        <v>11540100</v>
      </c>
      <c r="AC60" s="10">
        <v>34.5</v>
      </c>
      <c r="AD60" s="2">
        <f t="shared" si="0"/>
        <v>1.730000000000004</v>
      </c>
      <c r="AE60" s="137">
        <f t="shared" si="1"/>
        <v>-3.7925264919129953E-2</v>
      </c>
    </row>
    <row r="61" spans="1:31" x14ac:dyDescent="0.25">
      <c r="B61" s="192"/>
      <c r="C61" s="10"/>
      <c r="D61" s="40"/>
      <c r="E61" s="40"/>
      <c r="F61" s="40"/>
      <c r="G61" s="40"/>
      <c r="H61" s="230"/>
      <c r="I61" s="230"/>
      <c r="O61" s="82">
        <v>0.92</v>
      </c>
      <c r="P61" s="82">
        <f t="shared" si="3"/>
        <v>39.927999999999997</v>
      </c>
      <c r="W61" s="132">
        <v>42710</v>
      </c>
      <c r="X61" s="10">
        <v>35.450000000000003</v>
      </c>
      <c r="Y61" s="10">
        <v>36.020000000000003</v>
      </c>
      <c r="Z61" s="10">
        <v>34.909999999999997</v>
      </c>
      <c r="AA61" s="10">
        <v>35.86</v>
      </c>
      <c r="AB61" s="94">
        <v>5767300</v>
      </c>
      <c r="AC61" s="10">
        <v>35.86</v>
      </c>
      <c r="AD61" s="2">
        <f t="shared" si="0"/>
        <v>1.1100000000000065</v>
      </c>
      <c r="AE61" s="137">
        <f t="shared" si="1"/>
        <v>5.8906030855541136E-3</v>
      </c>
    </row>
    <row r="62" spans="1:31" x14ac:dyDescent="0.25">
      <c r="B62" s="192"/>
      <c r="C62" s="10"/>
      <c r="D62" s="40"/>
      <c r="E62" s="40"/>
      <c r="F62" s="40"/>
      <c r="G62" s="40"/>
      <c r="H62" s="230"/>
      <c r="I62" s="230"/>
      <c r="O62" s="82">
        <v>0.91</v>
      </c>
      <c r="P62" s="82">
        <f t="shared" si="3"/>
        <v>39.494</v>
      </c>
      <c r="W62" s="132">
        <v>42709</v>
      </c>
      <c r="X62" s="10">
        <v>36.31</v>
      </c>
      <c r="Y62" s="10">
        <v>36.659999999999997</v>
      </c>
      <c r="Z62" s="10">
        <v>35.369999999999997</v>
      </c>
      <c r="AA62" s="10">
        <v>35.65</v>
      </c>
      <c r="AB62" s="94">
        <v>3522800</v>
      </c>
      <c r="AC62" s="10">
        <v>35.65</v>
      </c>
      <c r="AD62" s="2">
        <f t="shared" si="0"/>
        <v>1.2899999999999991</v>
      </c>
      <c r="AE62" s="137">
        <f t="shared" si="1"/>
        <v>-9.4470686301751927E-3</v>
      </c>
    </row>
    <row r="63" spans="1:31" x14ac:dyDescent="0.25">
      <c r="B63" s="192"/>
      <c r="C63" s="10"/>
      <c r="D63" s="40"/>
      <c r="E63" s="40"/>
      <c r="F63" s="40"/>
      <c r="G63" s="40"/>
      <c r="H63" s="230"/>
      <c r="I63" s="230"/>
      <c r="O63" s="82">
        <v>0.9</v>
      </c>
      <c r="P63" s="82">
        <f t="shared" si="3"/>
        <v>39.06</v>
      </c>
      <c r="W63" s="132">
        <v>42706</v>
      </c>
      <c r="X63" s="10">
        <v>36.07</v>
      </c>
      <c r="Y63" s="10">
        <v>36.42</v>
      </c>
      <c r="Z63" s="10">
        <v>35.68</v>
      </c>
      <c r="AA63" s="10">
        <v>35.99</v>
      </c>
      <c r="AB63" s="94">
        <v>3538300</v>
      </c>
      <c r="AC63" s="10">
        <v>35.99</v>
      </c>
      <c r="AD63" s="2">
        <f t="shared" si="0"/>
        <v>0.74000000000000199</v>
      </c>
      <c r="AE63" s="137">
        <f t="shared" si="1"/>
        <v>-1.1101859561476468E-3</v>
      </c>
    </row>
    <row r="64" spans="1:31" x14ac:dyDescent="0.25">
      <c r="B64" s="192"/>
      <c r="C64" s="10"/>
      <c r="D64" s="40"/>
      <c r="E64" s="40"/>
      <c r="F64" s="40"/>
      <c r="G64" s="40"/>
      <c r="H64" s="230"/>
      <c r="I64" s="230"/>
      <c r="W64" s="132">
        <v>42705</v>
      </c>
      <c r="X64" s="10">
        <v>36.619999999999997</v>
      </c>
      <c r="Y64" s="10">
        <v>37.159999999999997</v>
      </c>
      <c r="Z64" s="10">
        <v>35.92</v>
      </c>
      <c r="AA64" s="10">
        <v>36.03</v>
      </c>
      <c r="AB64" s="94">
        <v>5123500</v>
      </c>
      <c r="AC64" s="10">
        <v>36.03</v>
      </c>
      <c r="AD64" s="2">
        <f t="shared" si="0"/>
        <v>1.2399999999999949</v>
      </c>
      <c r="AE64" s="137">
        <f t="shared" si="1"/>
        <v>-1.5842665938268219E-2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230"/>
      <c r="W65" s="132">
        <v>42704</v>
      </c>
      <c r="X65" s="10">
        <v>36.03</v>
      </c>
      <c r="Y65" s="10">
        <v>36.72</v>
      </c>
      <c r="Z65" s="10">
        <v>35.69</v>
      </c>
      <c r="AA65" s="10">
        <v>36.61</v>
      </c>
      <c r="AB65" s="94">
        <v>5522900</v>
      </c>
      <c r="AC65" s="10">
        <v>36.61</v>
      </c>
      <c r="AD65" s="2">
        <f t="shared" si="0"/>
        <v>1.0300000000000011</v>
      </c>
      <c r="AE65" s="137">
        <f t="shared" si="1"/>
        <v>1.5252357182473641E-2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230"/>
      <c r="W66" s="132">
        <v>42703</v>
      </c>
      <c r="X66" s="10">
        <v>36.76</v>
      </c>
      <c r="Y66" s="10">
        <v>37</v>
      </c>
      <c r="Z66" s="10">
        <v>35.950000000000003</v>
      </c>
      <c r="AA66" s="10">
        <v>36.06</v>
      </c>
      <c r="AB66" s="94">
        <v>3666500</v>
      </c>
      <c r="AC66" s="10">
        <v>36.06</v>
      </c>
      <c r="AD66" s="2">
        <f t="shared" si="0"/>
        <v>1.0499999999999972</v>
      </c>
      <c r="AE66" s="137">
        <f t="shared" si="1"/>
        <v>-1.8508437670114342E-2</v>
      </c>
    </row>
    <row r="67" spans="2:31" x14ac:dyDescent="0.25">
      <c r="W67" s="132">
        <v>42702</v>
      </c>
      <c r="X67" s="10">
        <v>36.72</v>
      </c>
      <c r="Y67" s="10">
        <v>37.15</v>
      </c>
      <c r="Z67" s="10">
        <v>36.67</v>
      </c>
      <c r="AA67" s="10">
        <v>36.74</v>
      </c>
      <c r="AB67" s="94">
        <v>3515200</v>
      </c>
      <c r="AC67" s="10">
        <v>36.74</v>
      </c>
      <c r="AD67" s="2">
        <f>Y67-Z67</f>
        <v>0.47999999999999687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2:P42"/>
  </mergeCells>
  <conditionalFormatting sqref="N19">
    <cfRule type="expression" dxfId="1157" priority="25">
      <formula>N19&gt;0</formula>
    </cfRule>
    <cfRule type="expression" dxfId="115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155" priority="19">
      <formula>F21&gt;0</formula>
    </cfRule>
    <cfRule type="expression" dxfId="1154" priority="20">
      <formula>F21&lt;0</formula>
    </cfRule>
  </conditionalFormatting>
  <conditionalFormatting sqref="H21:H31">
    <cfRule type="expression" dxfId="1153" priority="17">
      <formula>H21&gt;0</formula>
    </cfRule>
    <cfRule type="expression" dxfId="1152" priority="18">
      <formula>H21&lt;0</formula>
    </cfRule>
  </conditionalFormatting>
  <conditionalFormatting sqref="I21:I31">
    <cfRule type="expression" dxfId="1151" priority="15">
      <formula>I21&gt;0</formula>
    </cfRule>
    <cfRule type="expression" dxfId="1150" priority="16">
      <formula>I21&lt;0</formula>
    </cfRule>
  </conditionalFormatting>
  <conditionalFormatting sqref="Q8">
    <cfRule type="expression" dxfId="1149" priority="7">
      <formula>Q8&gt;0</formula>
    </cfRule>
    <cfRule type="expression" dxfId="1148" priority="8">
      <formula>Q8&lt;0</formula>
    </cfRule>
  </conditionalFormatting>
  <conditionalFormatting sqref="Q7">
    <cfRule type="expression" dxfId="1147" priority="9">
      <formula>Q7&gt;0</formula>
    </cfRule>
    <cfRule type="expression" dxfId="1146" priority="10">
      <formula>Q7&lt;0</formula>
    </cfRule>
  </conditionalFormatting>
  <conditionalFormatting sqref="F56:F66">
    <cfRule type="expression" dxfId="1145" priority="5">
      <formula>F56&gt;0</formula>
    </cfRule>
    <cfRule type="expression" dxfId="1144" priority="6">
      <formula>F56&lt;0</formula>
    </cfRule>
  </conditionalFormatting>
  <conditionalFormatting sqref="H56:H66">
    <cfRule type="expression" dxfId="1143" priority="3">
      <formula>H56&gt;0</formula>
    </cfRule>
    <cfRule type="expression" dxfId="1142" priority="4">
      <formula>H56&lt;0</formula>
    </cfRule>
  </conditionalFormatting>
  <conditionalFormatting sqref="I56:I66">
    <cfRule type="expression" dxfId="1141" priority="1">
      <formula>I56&gt;0</formula>
    </cfRule>
    <cfRule type="expression" dxfId="114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4">
        <v>42746</v>
      </c>
      <c r="C2" s="4">
        <v>30</v>
      </c>
      <c r="D2" s="3">
        <v>81.81</v>
      </c>
      <c r="E2" s="3">
        <v>0</v>
      </c>
      <c r="F2" s="3">
        <f t="shared" ref="F2:F11" si="0">C2*D2+E2</f>
        <v>2454.3000000000002</v>
      </c>
      <c r="G2" s="454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175</v>
      </c>
      <c r="T2" s="1">
        <v>42568</v>
      </c>
      <c r="U2" t="s">
        <v>249</v>
      </c>
      <c r="W2" s="132">
        <v>42797</v>
      </c>
      <c r="X2" s="10">
        <v>65.900000000000006</v>
      </c>
      <c r="Y2" s="10">
        <v>66.38</v>
      </c>
      <c r="Z2" s="10">
        <v>62.8</v>
      </c>
      <c r="AA2" s="10">
        <v>64.58</v>
      </c>
      <c r="AB2" s="94">
        <v>3312600</v>
      </c>
      <c r="AC2" s="10">
        <v>64.58</v>
      </c>
      <c r="AD2" s="2">
        <f>Y2-Z2</f>
        <v>3.5799999999999983</v>
      </c>
      <c r="AE2" s="137">
        <f>AC2/AC3-1</f>
        <v>-2.0921770770163661E-2</v>
      </c>
    </row>
    <row r="3" spans="1:40" x14ac:dyDescent="0.25">
      <c r="A3" s="23" t="s">
        <v>71</v>
      </c>
      <c r="B3" s="690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4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/>
      <c r="M3" s="4"/>
      <c r="O3" s="11" t="s">
        <v>58</v>
      </c>
      <c r="Q3" s="229">
        <f>IF(Q2=0, Q4, (F18-K18-M18)/Q2)</f>
        <v>72.130800000000022</v>
      </c>
      <c r="W3" s="132">
        <v>42796</v>
      </c>
      <c r="X3" s="10">
        <v>64.88</v>
      </c>
      <c r="Y3" s="10">
        <v>65.959999999999994</v>
      </c>
      <c r="Z3" s="10">
        <v>63.84</v>
      </c>
      <c r="AA3" s="10">
        <v>65.959999999999994</v>
      </c>
      <c r="AB3" s="94">
        <v>1893300</v>
      </c>
      <c r="AC3" s="10">
        <v>65.959999999999994</v>
      </c>
      <c r="AD3" s="2">
        <f t="shared" ref="AD3:AD66" si="1">Y3-Z3</f>
        <v>2.1199999999999903</v>
      </c>
      <c r="AE3" s="137">
        <f t="shared" ref="AE3:AE66" si="2">AC3/AC4-1</f>
        <v>1.6646115906288506E-2</v>
      </c>
      <c r="AG3" s="1"/>
      <c r="AK3" s="233"/>
      <c r="AN3" s="233"/>
    </row>
    <row r="4" spans="1:40" x14ac:dyDescent="0.25">
      <c r="B4" s="690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4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69.81</v>
      </c>
      <c r="R4" s="517">
        <v>-3.0000000000000001E-3</v>
      </c>
      <c r="T4" s="1"/>
      <c r="W4" s="132">
        <v>42795</v>
      </c>
      <c r="X4" s="10">
        <v>63.81</v>
      </c>
      <c r="Y4" s="10">
        <v>66.06</v>
      </c>
      <c r="Z4" s="10">
        <v>62.73</v>
      </c>
      <c r="AA4" s="10">
        <v>64.88</v>
      </c>
      <c r="AB4" s="94">
        <v>4286300</v>
      </c>
      <c r="AC4" s="10">
        <v>64.88</v>
      </c>
      <c r="AD4" s="2">
        <f t="shared" si="1"/>
        <v>3.3300000000000054</v>
      </c>
      <c r="AE4" s="137">
        <f t="shared" si="2"/>
        <v>2.0286208523352611E-2</v>
      </c>
      <c r="AK4" s="233"/>
      <c r="AN4" s="233"/>
    </row>
    <row r="5" spans="1:40" x14ac:dyDescent="0.25">
      <c r="B5" s="454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12216.75</v>
      </c>
      <c r="T5" s="1"/>
      <c r="W5" s="132">
        <v>42794</v>
      </c>
      <c r="X5" s="10">
        <v>69.17</v>
      </c>
      <c r="Y5" s="10">
        <v>69.75</v>
      </c>
      <c r="Z5" s="10">
        <v>63.25</v>
      </c>
      <c r="AA5" s="10">
        <v>63.59</v>
      </c>
      <c r="AB5" s="94">
        <v>11305200</v>
      </c>
      <c r="AC5" s="10">
        <v>63.59</v>
      </c>
      <c r="AD5" s="2">
        <f t="shared" si="1"/>
        <v>6.5</v>
      </c>
      <c r="AE5" s="137">
        <f t="shared" si="2"/>
        <v>-0.12746981339187691</v>
      </c>
      <c r="AK5" s="233"/>
      <c r="AN5" s="233"/>
    </row>
    <row r="6" spans="1:40" x14ac:dyDescent="0.25">
      <c r="B6" s="454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12622.890000000003</v>
      </c>
      <c r="W6" s="132">
        <v>42793</v>
      </c>
      <c r="X6" s="10">
        <v>73.75</v>
      </c>
      <c r="Y6" s="10">
        <v>74.739999999999995</v>
      </c>
      <c r="Z6" s="10">
        <v>72.790000000000006</v>
      </c>
      <c r="AA6" s="10">
        <v>72.88</v>
      </c>
      <c r="AB6" s="94">
        <v>848800</v>
      </c>
      <c r="AC6" s="10">
        <v>72.88</v>
      </c>
      <c r="AD6" s="2">
        <f t="shared" si="1"/>
        <v>1.9499999999999886</v>
      </c>
      <c r="AE6" s="137">
        <f t="shared" si="2"/>
        <v>-1.2466124661246636E-2</v>
      </c>
      <c r="AK6" s="233"/>
      <c r="AN6" s="233"/>
    </row>
    <row r="7" spans="1:40" x14ac:dyDescent="0.25">
      <c r="B7" s="454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4"/>
      <c r="I7" s="3"/>
      <c r="J7" s="3"/>
      <c r="K7" s="3"/>
      <c r="L7" s="4"/>
      <c r="O7" s="11" t="s">
        <v>181</v>
      </c>
      <c r="Q7" s="2">
        <f>Q10+Q8</f>
        <v>269.80999999999767</v>
      </c>
      <c r="R7" s="30">
        <v>42825</v>
      </c>
      <c r="W7" s="132">
        <v>42790</v>
      </c>
      <c r="X7" s="10">
        <v>72.39</v>
      </c>
      <c r="Y7" s="10">
        <v>74.61</v>
      </c>
      <c r="Z7" s="10">
        <v>72.05</v>
      </c>
      <c r="AA7" s="10">
        <v>73.8</v>
      </c>
      <c r="AB7" s="94">
        <v>1491300</v>
      </c>
      <c r="AC7" s="10">
        <v>73.8</v>
      </c>
      <c r="AD7" s="2">
        <f t="shared" si="1"/>
        <v>2.5600000000000023</v>
      </c>
      <c r="AE7" s="137">
        <f t="shared" si="2"/>
        <v>1.9618679193147193E-2</v>
      </c>
      <c r="AK7" s="233"/>
      <c r="AN7" s="233"/>
    </row>
    <row r="8" spans="1:40" x14ac:dyDescent="0.25">
      <c r="B8" s="498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-406.14000000000306</v>
      </c>
      <c r="W8" s="132">
        <v>42789</v>
      </c>
      <c r="X8" s="10">
        <v>73.67</v>
      </c>
      <c r="Y8" s="10">
        <v>74.150000000000006</v>
      </c>
      <c r="Z8" s="10">
        <v>72.33</v>
      </c>
      <c r="AA8" s="10">
        <v>72.38</v>
      </c>
      <c r="AB8" s="94">
        <v>1263800</v>
      </c>
      <c r="AC8" s="10">
        <v>72.38</v>
      </c>
      <c r="AD8" s="2">
        <f t="shared" si="1"/>
        <v>1.8200000000000074</v>
      </c>
      <c r="AE8" s="137">
        <f t="shared" si="2"/>
        <v>-1.6709686183942418E-2</v>
      </c>
      <c r="AK8" s="233"/>
      <c r="AN8" s="233"/>
    </row>
    <row r="9" spans="1:40" x14ac:dyDescent="0.25">
      <c r="B9" s="498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4"/>
      <c r="I9" s="3"/>
      <c r="J9" s="3"/>
      <c r="K9" s="3"/>
      <c r="L9" s="4"/>
      <c r="O9" s="11" t="s">
        <v>213</v>
      </c>
      <c r="Q9" s="137">
        <f>IF(Q2=0, 0, Q8/Q6)</f>
        <v>-3.2174882297160395E-2</v>
      </c>
      <c r="T9" s="157"/>
      <c r="W9" s="132">
        <v>42788</v>
      </c>
      <c r="X9" s="10">
        <v>74.52</v>
      </c>
      <c r="Y9" s="10">
        <v>74.69</v>
      </c>
      <c r="Z9" s="10">
        <v>73.069999999999993</v>
      </c>
      <c r="AA9" s="10">
        <v>73.61</v>
      </c>
      <c r="AB9" s="94">
        <v>798000</v>
      </c>
      <c r="AC9" s="10">
        <v>73.61</v>
      </c>
      <c r="AD9" s="2">
        <f t="shared" si="1"/>
        <v>1.6200000000000045</v>
      </c>
      <c r="AE9" s="137">
        <f t="shared" si="2"/>
        <v>-1.1813666263927991E-2</v>
      </c>
    </row>
    <row r="10" spans="1:40" x14ac:dyDescent="0.25">
      <c r="B10" s="498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4"/>
      <c r="I10" s="4"/>
      <c r="J10" s="4"/>
      <c r="K10" s="3"/>
      <c r="L10" s="4"/>
      <c r="O10" s="11" t="s">
        <v>212</v>
      </c>
      <c r="P10" s="34"/>
      <c r="Q10" s="2">
        <f>M101</f>
        <v>675.95000000000073</v>
      </c>
      <c r="W10" s="132">
        <v>42787</v>
      </c>
      <c r="X10" s="10">
        <v>74.41</v>
      </c>
      <c r="Y10" s="10">
        <v>75.569999999999993</v>
      </c>
      <c r="Z10" s="10">
        <v>73.52</v>
      </c>
      <c r="AA10" s="10">
        <v>74.489999999999995</v>
      </c>
      <c r="AB10" s="94">
        <v>1196600</v>
      </c>
      <c r="AC10" s="10">
        <v>74.489999999999995</v>
      </c>
      <c r="AD10" s="2">
        <f t="shared" si="1"/>
        <v>2.0499999999999972</v>
      </c>
      <c r="AE10" s="137">
        <f t="shared" si="2"/>
        <v>7.8473819510214149E-3</v>
      </c>
    </row>
    <row r="11" spans="1:40" x14ac:dyDescent="0.25">
      <c r="B11" s="498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1.5800000000000002E-2</v>
      </c>
      <c r="W11" s="132">
        <v>42783</v>
      </c>
      <c r="X11" s="10">
        <v>73.400000000000006</v>
      </c>
      <c r="Y11" s="10">
        <v>74.78</v>
      </c>
      <c r="Z11" s="10">
        <v>72.86</v>
      </c>
      <c r="AA11" s="10">
        <v>73.91</v>
      </c>
      <c r="AB11" s="94">
        <v>909600</v>
      </c>
      <c r="AC11" s="10">
        <v>73.91</v>
      </c>
      <c r="AD11" s="2">
        <f t="shared" si="1"/>
        <v>1.9200000000000017</v>
      </c>
      <c r="AE11" s="137">
        <f t="shared" si="2"/>
        <v>5.8519324986390231E-3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42782</v>
      </c>
      <c r="X12" s="10">
        <v>75.099999999999994</v>
      </c>
      <c r="Y12" s="10">
        <v>75.78</v>
      </c>
      <c r="Z12" s="10">
        <v>73.33</v>
      </c>
      <c r="AA12" s="10">
        <v>73.48</v>
      </c>
      <c r="AB12" s="94">
        <v>874300</v>
      </c>
      <c r="AC12" s="10">
        <v>73.48</v>
      </c>
      <c r="AD12" s="2">
        <f t="shared" si="1"/>
        <v>2.4500000000000028</v>
      </c>
      <c r="AE12" s="137">
        <f t="shared" si="2"/>
        <v>-2.6110006626905213E-2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42781</v>
      </c>
      <c r="X13" s="10">
        <v>74.63</v>
      </c>
      <c r="Y13" s="10">
        <v>75.7</v>
      </c>
      <c r="Z13" s="10">
        <v>74</v>
      </c>
      <c r="AA13" s="10">
        <v>75.45</v>
      </c>
      <c r="AB13" s="94">
        <v>890200</v>
      </c>
      <c r="AC13" s="10">
        <v>75.45</v>
      </c>
      <c r="AD13" s="2">
        <f t="shared" si="1"/>
        <v>1.7000000000000028</v>
      </c>
      <c r="AE13" s="137">
        <f t="shared" si="2"/>
        <v>1.1123023318145187E-2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42780</v>
      </c>
      <c r="X14" s="10">
        <v>73</v>
      </c>
      <c r="Y14" s="10">
        <v>75.47</v>
      </c>
      <c r="Z14" s="10">
        <v>73</v>
      </c>
      <c r="AA14" s="10">
        <v>74.62</v>
      </c>
      <c r="AB14" s="94">
        <v>1018200</v>
      </c>
      <c r="AC14" s="10">
        <v>74.62</v>
      </c>
      <c r="AD14" s="2">
        <f t="shared" si="1"/>
        <v>2.4699999999999989</v>
      </c>
      <c r="AE14" s="137">
        <f t="shared" si="2"/>
        <v>2.0793433652530835E-2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42779</v>
      </c>
      <c r="X15" s="10">
        <v>73.5</v>
      </c>
      <c r="Y15" s="10">
        <v>73.69</v>
      </c>
      <c r="Z15" s="10">
        <v>72.5</v>
      </c>
      <c r="AA15" s="10">
        <v>73.099999999999994</v>
      </c>
      <c r="AB15" s="94">
        <v>890200</v>
      </c>
      <c r="AC15" s="10">
        <v>73.099999999999994</v>
      </c>
      <c r="AD15" s="2">
        <f t="shared" si="1"/>
        <v>1.1899999999999977</v>
      </c>
      <c r="AE15" s="137">
        <f t="shared" si="2"/>
        <v>2.8810536424748179E-3</v>
      </c>
    </row>
    <row r="16" spans="1:40" x14ac:dyDescent="0.25">
      <c r="G16" s="1"/>
      <c r="H16" s="71"/>
      <c r="W16" s="132">
        <v>42776</v>
      </c>
      <c r="X16" s="10">
        <v>73.739999999999995</v>
      </c>
      <c r="Y16" s="10">
        <v>74.069999999999993</v>
      </c>
      <c r="Z16" s="10">
        <v>72.150000000000006</v>
      </c>
      <c r="AA16" s="10">
        <v>72.89</v>
      </c>
      <c r="AB16" s="94">
        <v>1460500</v>
      </c>
      <c r="AC16" s="10">
        <v>72.89</v>
      </c>
      <c r="AD16" s="2">
        <f t="shared" si="1"/>
        <v>1.9199999999999875</v>
      </c>
      <c r="AE16" s="137">
        <f t="shared" si="2"/>
        <v>-9.9157837544145977E-3</v>
      </c>
    </row>
    <row r="17" spans="1:31" x14ac:dyDescent="0.25">
      <c r="G17" s="1"/>
      <c r="H17" s="71"/>
      <c r="W17" s="132">
        <v>42775</v>
      </c>
      <c r="X17" s="10">
        <v>72.45</v>
      </c>
      <c r="Y17" s="10">
        <v>74.12</v>
      </c>
      <c r="Z17" s="10">
        <v>72.39</v>
      </c>
      <c r="AA17" s="10">
        <v>73.62</v>
      </c>
      <c r="AB17" s="94">
        <v>1873000</v>
      </c>
      <c r="AC17" s="10">
        <v>73.62</v>
      </c>
      <c r="AD17" s="2">
        <f t="shared" si="1"/>
        <v>1.730000000000004</v>
      </c>
      <c r="AE17" s="137">
        <f t="shared" si="2"/>
        <v>1.6149068322981464E-2</v>
      </c>
    </row>
    <row r="18" spans="1:31" x14ac:dyDescent="0.25">
      <c r="A18" s="32" t="s">
        <v>81</v>
      </c>
      <c r="B18" s="14"/>
      <c r="C18" s="14">
        <f>SUM(C2:C14)</f>
        <v>330</v>
      </c>
      <c r="D18" s="14"/>
      <c r="E18" s="14"/>
      <c r="F18" s="18">
        <f t="shared" ref="F18:M18" si="3">SUM(F2:F14)</f>
        <v>23856.15</v>
      </c>
      <c r="G18" s="14"/>
      <c r="H18" s="14">
        <f t="shared" si="3"/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42774</v>
      </c>
      <c r="X18" s="10">
        <v>71.8</v>
      </c>
      <c r="Y18" s="10">
        <v>72.62</v>
      </c>
      <c r="Z18" s="10">
        <v>70.790000000000006</v>
      </c>
      <c r="AA18" s="10">
        <v>72.45</v>
      </c>
      <c r="AB18" s="94">
        <v>1954000</v>
      </c>
      <c r="AC18" s="10">
        <v>72.45</v>
      </c>
      <c r="AD18" s="2">
        <f t="shared" si="1"/>
        <v>1.8299999999999983</v>
      </c>
      <c r="AE18" s="137">
        <f t="shared" si="2"/>
        <v>6.9492703266156308E-3</v>
      </c>
    </row>
    <row r="19" spans="1:31" ht="15.75" thickBot="1" x14ac:dyDescent="0.3">
      <c r="A19" s="353" t="s">
        <v>197</v>
      </c>
      <c r="B19" s="354"/>
      <c r="C19" s="355">
        <f>SumByColor($A$19,C2:C17)</f>
        <v>155</v>
      </c>
      <c r="D19" s="355"/>
      <c r="E19" s="355"/>
      <c r="F19" s="356">
        <f>SumByColor($A$19,F2:F17)</f>
        <v>11144</v>
      </c>
      <c r="G19" s="355"/>
      <c r="H19" s="355">
        <f>SumByColor($A$19,H2:H17)</f>
        <v>155</v>
      </c>
      <c r="I19" s="355"/>
      <c r="J19" s="355"/>
      <c r="K19" s="356">
        <f>SumByColor($A$19,K2:K17)</f>
        <v>11220</v>
      </c>
      <c r="L19" s="355"/>
      <c r="M19" s="356">
        <f>SumByColor($A$19,M2:M17)</f>
        <v>13</v>
      </c>
      <c r="N19" s="2"/>
      <c r="W19" s="132">
        <v>42773</v>
      </c>
      <c r="X19" s="10">
        <v>74.3</v>
      </c>
      <c r="Y19" s="10">
        <v>74.95</v>
      </c>
      <c r="Z19" s="10">
        <v>71.89</v>
      </c>
      <c r="AA19" s="10">
        <v>71.95</v>
      </c>
      <c r="AB19" s="94">
        <v>1984600</v>
      </c>
      <c r="AC19" s="10">
        <v>71.95</v>
      </c>
      <c r="AD19" s="2">
        <f t="shared" si="1"/>
        <v>3.0600000000000023</v>
      </c>
      <c r="AE19" s="137">
        <f t="shared" si="2"/>
        <v>-2.8490413178503871E-2</v>
      </c>
    </row>
    <row r="20" spans="1:31" x14ac:dyDescent="0.25">
      <c r="W20" s="132">
        <v>42772</v>
      </c>
      <c r="X20" s="10">
        <v>76.22</v>
      </c>
      <c r="Y20" s="10">
        <v>76.37</v>
      </c>
      <c r="Z20" s="10">
        <v>73.459999999999994</v>
      </c>
      <c r="AA20" s="10">
        <v>74.06</v>
      </c>
      <c r="AB20" s="94">
        <v>3229400</v>
      </c>
      <c r="AC20" s="10">
        <v>74.06</v>
      </c>
      <c r="AD20" s="2">
        <f t="shared" si="1"/>
        <v>2.9100000000000108</v>
      </c>
      <c r="AE20" s="137">
        <f t="shared" si="2"/>
        <v>-2.9357798165137505E-2</v>
      </c>
    </row>
    <row r="21" spans="1:31" x14ac:dyDescent="0.25">
      <c r="W21" s="132">
        <v>42769</v>
      </c>
      <c r="X21" s="10">
        <v>76.67</v>
      </c>
      <c r="Y21" s="10">
        <v>77.41</v>
      </c>
      <c r="Z21" s="10">
        <v>76.2</v>
      </c>
      <c r="AA21" s="10">
        <v>76.3</v>
      </c>
      <c r="AB21" s="94">
        <v>983200</v>
      </c>
      <c r="AC21" s="10">
        <v>76.3</v>
      </c>
      <c r="AD21" s="2">
        <f t="shared" si="1"/>
        <v>1.2099999999999937</v>
      </c>
      <c r="AE21" s="137">
        <f t="shared" si="2"/>
        <v>2.3646873357854314E-3</v>
      </c>
    </row>
    <row r="22" spans="1:31" x14ac:dyDescent="0.25">
      <c r="W22" s="132">
        <v>42768</v>
      </c>
      <c r="X22" s="10">
        <v>77.25</v>
      </c>
      <c r="Y22" s="10">
        <v>77.25</v>
      </c>
      <c r="Z22" s="10">
        <v>75.77</v>
      </c>
      <c r="AA22" s="10">
        <v>76.12</v>
      </c>
      <c r="AB22" s="94">
        <v>1204300</v>
      </c>
      <c r="AC22" s="10">
        <v>76.12</v>
      </c>
      <c r="AD22" s="2">
        <f t="shared" si="1"/>
        <v>1.480000000000004</v>
      </c>
      <c r="AE22" s="137">
        <f t="shared" si="2"/>
        <v>-1.155694065705748E-2</v>
      </c>
    </row>
    <row r="23" spans="1:31" x14ac:dyDescent="0.25">
      <c r="W23" s="132">
        <v>42767</v>
      </c>
      <c r="X23" s="10">
        <v>77.19</v>
      </c>
      <c r="Y23" s="10">
        <v>78.56</v>
      </c>
      <c r="Z23" s="10">
        <v>76.86</v>
      </c>
      <c r="AA23" s="10">
        <v>77.010000000000005</v>
      </c>
      <c r="AB23" s="94">
        <v>1510600</v>
      </c>
      <c r="AC23" s="10">
        <v>77.010000000000005</v>
      </c>
      <c r="AD23" s="2">
        <f t="shared" si="1"/>
        <v>1.7000000000000028</v>
      </c>
      <c r="AE23" s="137">
        <f t="shared" si="2"/>
        <v>-8.4974893781382121E-3</v>
      </c>
    </row>
    <row r="24" spans="1:31" x14ac:dyDescent="0.25">
      <c r="B24" s="511" t="s">
        <v>114</v>
      </c>
      <c r="C24" s="511" t="s">
        <v>147</v>
      </c>
      <c r="D24" s="512" t="s">
        <v>146</v>
      </c>
      <c r="E24" s="513" t="s">
        <v>148</v>
      </c>
      <c r="F24" s="514" t="s">
        <v>65</v>
      </c>
      <c r="G24" s="515" t="s">
        <v>152</v>
      </c>
      <c r="H24" s="514" t="s">
        <v>88</v>
      </c>
      <c r="I24" s="514" t="s">
        <v>155</v>
      </c>
      <c r="J24" s="514" t="s">
        <v>151</v>
      </c>
      <c r="W24" s="132">
        <v>42766</v>
      </c>
      <c r="X24" s="10">
        <v>78.66</v>
      </c>
      <c r="Y24" s="10">
        <v>79.13</v>
      </c>
      <c r="Z24" s="10">
        <v>76.319999999999993</v>
      </c>
      <c r="AA24" s="10">
        <v>77.67</v>
      </c>
      <c r="AB24" s="94">
        <v>2117300</v>
      </c>
      <c r="AC24" s="10">
        <v>77.67</v>
      </c>
      <c r="AD24" s="2">
        <f t="shared" si="1"/>
        <v>2.8100000000000023</v>
      </c>
      <c r="AE24" s="137">
        <f t="shared" si="2"/>
        <v>-1.8822637695805944E-2</v>
      </c>
    </row>
    <row r="25" spans="1:31" x14ac:dyDescent="0.25">
      <c r="B25" s="192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30">
        <f t="shared" ref="H25:H32" si="6">(E25-D25)/D25</f>
        <v>3.5325754797701996E-2</v>
      </c>
      <c r="I25" s="10"/>
      <c r="J25" s="10"/>
      <c r="W25" s="132">
        <v>42765</v>
      </c>
      <c r="X25" s="10">
        <v>79.86</v>
      </c>
      <c r="Y25" s="10">
        <v>80.14</v>
      </c>
      <c r="Z25" s="10">
        <v>78.19</v>
      </c>
      <c r="AA25" s="10">
        <v>79.16</v>
      </c>
      <c r="AB25" s="94">
        <v>816500</v>
      </c>
      <c r="AC25" s="10">
        <v>79.16</v>
      </c>
      <c r="AD25" s="2">
        <f t="shared" si="1"/>
        <v>1.9500000000000028</v>
      </c>
      <c r="AE25" s="137">
        <f t="shared" si="2"/>
        <v>-1.0376297037129611E-2</v>
      </c>
    </row>
    <row r="26" spans="1:31" x14ac:dyDescent="0.25">
      <c r="B26" s="192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30">
        <f t="shared" si="6"/>
        <v>-3.8229128129239395E-3</v>
      </c>
      <c r="I26" s="10"/>
      <c r="J26" s="10"/>
      <c r="W26" s="132">
        <v>42762</v>
      </c>
      <c r="X26" s="10">
        <v>81.94</v>
      </c>
      <c r="Y26" s="10">
        <v>81.94</v>
      </c>
      <c r="Z26" s="10">
        <v>79.930000000000007</v>
      </c>
      <c r="AA26" s="10">
        <v>79.989999999999995</v>
      </c>
      <c r="AB26" s="94">
        <v>785600</v>
      </c>
      <c r="AC26" s="10">
        <v>79.989999999999995</v>
      </c>
      <c r="AD26" s="2">
        <f t="shared" si="1"/>
        <v>2.0099999999999909</v>
      </c>
      <c r="AE26" s="137">
        <f t="shared" si="2"/>
        <v>-2.391702257474082E-2</v>
      </c>
    </row>
    <row r="27" spans="1:31" x14ac:dyDescent="0.25">
      <c r="B27" s="192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30">
        <f t="shared" si="6"/>
        <v>1.5841399271731272E-2</v>
      </c>
      <c r="I27" s="10"/>
      <c r="J27" s="10"/>
      <c r="W27" s="132">
        <v>42761</v>
      </c>
      <c r="X27" s="10">
        <v>83.13</v>
      </c>
      <c r="Y27" s="10">
        <v>83.69</v>
      </c>
      <c r="Z27" s="10">
        <v>81.91</v>
      </c>
      <c r="AA27" s="10">
        <v>81.95</v>
      </c>
      <c r="AB27" s="94">
        <v>618800</v>
      </c>
      <c r="AC27" s="10">
        <v>81.95</v>
      </c>
      <c r="AD27" s="2">
        <f t="shared" si="1"/>
        <v>1.7800000000000011</v>
      </c>
      <c r="AE27" s="137">
        <f t="shared" si="2"/>
        <v>-1.2412629549289012E-2</v>
      </c>
    </row>
    <row r="28" spans="1:31" x14ac:dyDescent="0.25">
      <c r="A28" t="s">
        <v>386</v>
      </c>
      <c r="B28" s="192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30">
        <f t="shared" si="6"/>
        <v>1.3761638502831674E-3</v>
      </c>
      <c r="I28" s="10"/>
      <c r="J28" s="10"/>
      <c r="W28" s="132">
        <v>42760</v>
      </c>
      <c r="X28" s="10">
        <v>82.68</v>
      </c>
      <c r="Y28" s="10">
        <v>84.25</v>
      </c>
      <c r="Z28" s="10">
        <v>82.52</v>
      </c>
      <c r="AA28" s="10">
        <v>82.98</v>
      </c>
      <c r="AB28" s="94">
        <v>1190300</v>
      </c>
      <c r="AC28" s="10">
        <v>82.98</v>
      </c>
      <c r="AD28" s="2">
        <f t="shared" si="1"/>
        <v>1.730000000000004</v>
      </c>
      <c r="AE28" s="137" t="e">
        <f t="shared" si="2"/>
        <v>#DIV/0!</v>
      </c>
    </row>
    <row r="29" spans="1:31" x14ac:dyDescent="0.25">
      <c r="A29" t="s">
        <v>386</v>
      </c>
      <c r="B29" s="192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30">
        <f t="shared" si="6"/>
        <v>2.8775462130698346E-2</v>
      </c>
      <c r="I29" s="10"/>
      <c r="J29" s="10"/>
      <c r="W29" s="132">
        <v>42760</v>
      </c>
      <c r="X29" s="10" t="s">
        <v>139</v>
      </c>
      <c r="Y29" s="10"/>
      <c r="Z29" s="10"/>
      <c r="AA29" s="10"/>
      <c r="AB29" s="94"/>
      <c r="AC29" s="10"/>
      <c r="AD29" s="2">
        <f t="shared" si="1"/>
        <v>0</v>
      </c>
      <c r="AE29" s="137">
        <f t="shared" si="2"/>
        <v>-1</v>
      </c>
    </row>
    <row r="30" spans="1:31" x14ac:dyDescent="0.25">
      <c r="A30" t="s">
        <v>427</v>
      </c>
      <c r="B30" s="192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30">
        <f t="shared" si="6"/>
        <v>-2.2272351342471561E-2</v>
      </c>
      <c r="I30" s="10"/>
      <c r="J30" s="10"/>
      <c r="W30" s="132">
        <v>42759</v>
      </c>
      <c r="X30" s="10">
        <v>81.41</v>
      </c>
      <c r="Y30" s="10">
        <v>82.93</v>
      </c>
      <c r="Z30" s="10">
        <v>80.849999999999994</v>
      </c>
      <c r="AA30" s="10">
        <v>82.73</v>
      </c>
      <c r="AB30" s="94">
        <v>832700</v>
      </c>
      <c r="AC30" s="10">
        <v>82.47</v>
      </c>
      <c r="AD30" s="2">
        <f t="shared" si="1"/>
        <v>2.0800000000000125</v>
      </c>
      <c r="AE30" s="137">
        <f t="shared" si="2"/>
        <v>2.2439871063724359E-2</v>
      </c>
    </row>
    <row r="31" spans="1:31" x14ac:dyDescent="0.25">
      <c r="A31" t="s">
        <v>379</v>
      </c>
      <c r="B31" s="192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30">
        <f t="shared" si="6"/>
        <v>-5.5260740891927666E-2</v>
      </c>
      <c r="I31" s="10"/>
      <c r="J31" s="10"/>
      <c r="W31" s="132">
        <v>42758</v>
      </c>
      <c r="X31" s="10">
        <v>80.52</v>
      </c>
      <c r="Y31" s="10">
        <v>81.03</v>
      </c>
      <c r="Z31" s="10">
        <v>80.02</v>
      </c>
      <c r="AA31" s="10">
        <v>80.91</v>
      </c>
      <c r="AB31" s="94">
        <v>726700</v>
      </c>
      <c r="AC31" s="10">
        <v>80.66</v>
      </c>
      <c r="AD31" s="2">
        <f t="shared" si="1"/>
        <v>1.0100000000000051</v>
      </c>
      <c r="AE31" s="137">
        <f t="shared" si="2"/>
        <v>2.3611283708213637E-3</v>
      </c>
    </row>
    <row r="32" spans="1:31" x14ac:dyDescent="0.25">
      <c r="A32" t="s">
        <v>455</v>
      </c>
      <c r="B32" s="192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30">
        <f t="shared" si="6"/>
        <v>-6.9567151517659423E-2</v>
      </c>
      <c r="I32" s="10"/>
      <c r="J32" s="10"/>
      <c r="W32" s="132">
        <v>42755</v>
      </c>
      <c r="X32" s="10">
        <v>81.05</v>
      </c>
      <c r="Y32" s="10">
        <v>81.95</v>
      </c>
      <c r="Z32" s="10">
        <v>80.28</v>
      </c>
      <c r="AA32" s="10">
        <v>80.72</v>
      </c>
      <c r="AB32" s="94">
        <v>840800</v>
      </c>
      <c r="AC32" s="10">
        <v>80.47</v>
      </c>
      <c r="AD32" s="2">
        <f t="shared" si="1"/>
        <v>1.6700000000000017</v>
      </c>
      <c r="AE32" s="137">
        <f t="shared" si="2"/>
        <v>-6.2096373571784991E-4</v>
      </c>
    </row>
    <row r="33" spans="1:31" x14ac:dyDescent="0.25">
      <c r="A33" t="s">
        <v>508</v>
      </c>
      <c r="B33" s="192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30">
        <f t="shared" ref="H33" si="9">(E33-D33)/D33</f>
        <v>-4.8100597959901507E-2</v>
      </c>
      <c r="I33" s="10"/>
      <c r="J33" s="10"/>
      <c r="W33" s="132">
        <v>42754</v>
      </c>
      <c r="X33" s="10">
        <v>81.97</v>
      </c>
      <c r="Y33" s="10">
        <v>82.46</v>
      </c>
      <c r="Z33" s="10">
        <v>80.349999999999994</v>
      </c>
      <c r="AA33" s="10">
        <v>80.77</v>
      </c>
      <c r="AB33" s="94">
        <v>742800</v>
      </c>
      <c r="AC33" s="10">
        <v>80.52</v>
      </c>
      <c r="AD33" s="2">
        <f t="shared" si="1"/>
        <v>2.1099999999999994</v>
      </c>
      <c r="AE33" s="137">
        <f t="shared" si="2"/>
        <v>-1.5286779992662369E-2</v>
      </c>
    </row>
    <row r="34" spans="1:31" x14ac:dyDescent="0.25">
      <c r="A34" t="s">
        <v>543</v>
      </c>
      <c r="B34" s="192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30">
        <f t="shared" ref="H34" si="12">(E34-D34)/D34</f>
        <v>-0.1088932703855202</v>
      </c>
      <c r="I34" s="10"/>
      <c r="J34" s="10"/>
      <c r="W34" s="132">
        <v>42753</v>
      </c>
      <c r="X34" s="10">
        <v>81.23</v>
      </c>
      <c r="Y34" s="10">
        <v>82.06</v>
      </c>
      <c r="Z34" s="10">
        <v>79.66</v>
      </c>
      <c r="AA34" s="10">
        <v>82.03</v>
      </c>
      <c r="AB34" s="94">
        <v>1327200</v>
      </c>
      <c r="AC34" s="10">
        <v>81.77</v>
      </c>
      <c r="AD34" s="2">
        <f t="shared" si="1"/>
        <v>2.4000000000000057</v>
      </c>
      <c r="AE34" s="137">
        <f t="shared" si="2"/>
        <v>1.0878971442700003E-2</v>
      </c>
    </row>
    <row r="35" spans="1:31" x14ac:dyDescent="0.25">
      <c r="A35" t="s">
        <v>543</v>
      </c>
      <c r="B35" s="192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30">
        <f t="shared" ref="H35:H36" si="15">(E35-D35)/D35</f>
        <v>-9.0262811407610874E-2</v>
      </c>
      <c r="I35" s="10" t="s">
        <v>188</v>
      </c>
      <c r="J35" s="10"/>
      <c r="W35" s="132">
        <v>42752</v>
      </c>
      <c r="X35" s="10">
        <v>80.680000000000007</v>
      </c>
      <c r="Y35" s="10">
        <v>83.17</v>
      </c>
      <c r="Z35" s="10">
        <v>80.52</v>
      </c>
      <c r="AA35" s="10">
        <v>81.150000000000006</v>
      </c>
      <c r="AB35" s="94">
        <v>1635300</v>
      </c>
      <c r="AC35" s="10">
        <v>80.89</v>
      </c>
      <c r="AD35" s="2">
        <f t="shared" si="1"/>
        <v>2.6500000000000057</v>
      </c>
      <c r="AE35" s="137">
        <f t="shared" si="2"/>
        <v>4.4703837079349551E-3</v>
      </c>
    </row>
    <row r="36" spans="1:31" x14ac:dyDescent="0.25">
      <c r="A36">
        <v>75</v>
      </c>
      <c r="B36" s="192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30">
        <f t="shared" si="15"/>
        <v>-8.0167084283897572E-2</v>
      </c>
      <c r="I36" s="10"/>
      <c r="J36" s="10"/>
      <c r="W36" s="132">
        <v>42748</v>
      </c>
      <c r="X36" s="10">
        <v>84.8</v>
      </c>
      <c r="Y36" s="10">
        <v>85.3</v>
      </c>
      <c r="Z36" s="10">
        <v>79.959999999999994</v>
      </c>
      <c r="AA36" s="10">
        <v>80.78</v>
      </c>
      <c r="AB36" s="94">
        <v>3152000</v>
      </c>
      <c r="AC36" s="10">
        <v>80.53</v>
      </c>
      <c r="AD36" s="2">
        <f t="shared" si="1"/>
        <v>5.3400000000000034</v>
      </c>
      <c r="AE36" s="137">
        <f t="shared" si="2"/>
        <v>-4.2335592817219658E-2</v>
      </c>
    </row>
    <row r="37" spans="1:31" x14ac:dyDescent="0.25">
      <c r="A37">
        <v>0</v>
      </c>
      <c r="B37" s="192">
        <v>42803</v>
      </c>
      <c r="C37" s="10">
        <v>200</v>
      </c>
      <c r="D37" s="40">
        <v>72.186800000000005</v>
      </c>
      <c r="E37" s="40">
        <v>70.02</v>
      </c>
      <c r="F37" s="40">
        <f t="shared" ref="F37:F38" si="18">C37*(E37-D37)</f>
        <v>-433.36000000000183</v>
      </c>
      <c r="G37" s="40">
        <f t="shared" ref="G37:G38" si="19">D37*C37</f>
        <v>14437.36</v>
      </c>
      <c r="H37" s="230">
        <f t="shared" ref="H37:H38" si="20">(E37-D37)/D37</f>
        <v>-3.0016568126028705E-2</v>
      </c>
      <c r="I37" s="10"/>
      <c r="J37" s="10"/>
      <c r="W37" s="132">
        <v>42747</v>
      </c>
      <c r="X37" s="10">
        <v>84.13</v>
      </c>
      <c r="Y37" s="10">
        <v>86.35</v>
      </c>
      <c r="Z37" s="10">
        <v>83.53</v>
      </c>
      <c r="AA37" s="10">
        <v>84.36</v>
      </c>
      <c r="AB37" s="94">
        <v>3726800</v>
      </c>
      <c r="AC37" s="10">
        <v>84.09</v>
      </c>
      <c r="AD37" s="2">
        <f t="shared" si="1"/>
        <v>2.8199999999999932</v>
      </c>
      <c r="AE37" s="137">
        <f t="shared" si="2"/>
        <v>-4.0270046192112385E-3</v>
      </c>
    </row>
    <row r="38" spans="1:31" x14ac:dyDescent="0.25">
      <c r="A38">
        <v>0</v>
      </c>
      <c r="B38" s="192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30">
        <f t="shared" ref="H38" si="23">(E38-D38)/D38</f>
        <v>-3.2174882297160041E-2</v>
      </c>
      <c r="I38" s="10"/>
      <c r="J38" s="40">
        <v>269.81</v>
      </c>
      <c r="W38" s="132">
        <v>42746</v>
      </c>
      <c r="X38" s="10">
        <v>81.650000000000006</v>
      </c>
      <c r="Y38" s="10">
        <v>85.3</v>
      </c>
      <c r="Z38" s="10">
        <v>81.5</v>
      </c>
      <c r="AA38" s="10">
        <v>84.7</v>
      </c>
      <c r="AB38" s="94">
        <v>4111200</v>
      </c>
      <c r="AC38" s="10">
        <v>84.43</v>
      </c>
      <c r="AD38" s="2">
        <f t="shared" si="1"/>
        <v>3.7999999999999972</v>
      </c>
      <c r="AE38" s="137">
        <f t="shared" si="2"/>
        <v>-3.1655006308062728E-2</v>
      </c>
    </row>
    <row r="39" spans="1:31" ht="20.25" thickBot="1" x14ac:dyDescent="0.35">
      <c r="B39" s="10"/>
      <c r="C39" s="10"/>
      <c r="D39" s="40"/>
      <c r="E39" s="40"/>
      <c r="F39" s="40"/>
      <c r="G39" s="10"/>
      <c r="H39" s="10"/>
      <c r="I39" s="10"/>
      <c r="J39" s="10"/>
      <c r="T39" s="111" t="s">
        <v>113</v>
      </c>
      <c r="U39" s="9"/>
      <c r="W39" s="132">
        <v>42745</v>
      </c>
      <c r="X39" s="10">
        <v>85.96</v>
      </c>
      <c r="Y39" s="10">
        <v>87.99</v>
      </c>
      <c r="Z39" s="10">
        <v>85.67</v>
      </c>
      <c r="AA39" s="10">
        <v>87.46</v>
      </c>
      <c r="AB39" s="94">
        <v>1121900</v>
      </c>
      <c r="AC39" s="10">
        <v>87.19</v>
      </c>
      <c r="AD39" s="2">
        <f t="shared" si="1"/>
        <v>2.3199999999999932</v>
      </c>
      <c r="AE39" s="137">
        <f t="shared" si="2"/>
        <v>1.5608619685498093E-2</v>
      </c>
    </row>
    <row r="40" spans="1:31" ht="15.75" thickTop="1" x14ac:dyDescent="0.25">
      <c r="B40" s="10"/>
      <c r="C40" s="10"/>
      <c r="D40" s="40"/>
      <c r="E40" s="40"/>
      <c r="F40" s="40"/>
      <c r="G40" s="10"/>
      <c r="H40" s="10"/>
      <c r="I40" s="10"/>
      <c r="J40" s="10"/>
      <c r="T40" s="138" t="s">
        <v>98</v>
      </c>
      <c r="U40" s="364">
        <v>65.959999999999994</v>
      </c>
      <c r="W40" s="132">
        <v>42744</v>
      </c>
      <c r="X40" s="10">
        <v>87.84</v>
      </c>
      <c r="Y40" s="10">
        <v>88.1</v>
      </c>
      <c r="Z40" s="10">
        <v>85.25</v>
      </c>
      <c r="AA40" s="10">
        <v>86.12</v>
      </c>
      <c r="AB40" s="94">
        <v>1303100</v>
      </c>
      <c r="AC40" s="10">
        <v>85.85</v>
      </c>
      <c r="AD40" s="2">
        <f t="shared" si="1"/>
        <v>2.8499999999999943</v>
      </c>
      <c r="AE40" s="137">
        <f t="shared" si="2"/>
        <v>-2.3766204230156962E-2</v>
      </c>
    </row>
    <row r="41" spans="1:31" x14ac:dyDescent="0.25">
      <c r="B41" s="10"/>
      <c r="C41" s="10"/>
      <c r="D41" s="40"/>
      <c r="E41" s="40"/>
      <c r="F41" s="40"/>
      <c r="G41" s="10"/>
      <c r="H41" s="10"/>
      <c r="I41" s="10"/>
      <c r="J41" s="10"/>
      <c r="T41" s="107" t="s">
        <v>99</v>
      </c>
      <c r="U41" s="365">
        <v>65.900000000000006</v>
      </c>
      <c r="W41" s="132">
        <v>42741</v>
      </c>
      <c r="X41" s="10">
        <v>88.01</v>
      </c>
      <c r="Y41" s="10">
        <v>88.53</v>
      </c>
      <c r="Z41" s="10">
        <v>87.12</v>
      </c>
      <c r="AA41" s="10">
        <v>88.22</v>
      </c>
      <c r="AB41" s="94">
        <v>1135800</v>
      </c>
      <c r="AC41" s="10">
        <v>87.94</v>
      </c>
      <c r="AD41" s="2">
        <f t="shared" si="1"/>
        <v>1.4099999999999966</v>
      </c>
      <c r="AE41" s="137">
        <f t="shared" si="2"/>
        <v>2.8509522180408808E-3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10"/>
      <c r="J42" s="10"/>
      <c r="O42" s="703" t="s">
        <v>78</v>
      </c>
      <c r="P42" s="703"/>
      <c r="T42" s="107" t="s">
        <v>100</v>
      </c>
      <c r="U42" s="365" t="s">
        <v>129</v>
      </c>
      <c r="W42" s="132">
        <v>42740</v>
      </c>
      <c r="X42" s="10">
        <v>94.45</v>
      </c>
      <c r="Y42" s="10">
        <v>94.45</v>
      </c>
      <c r="Z42" s="10">
        <v>87.33</v>
      </c>
      <c r="AA42" s="10">
        <v>87.97</v>
      </c>
      <c r="AB42" s="94">
        <v>2754600</v>
      </c>
      <c r="AC42" s="10">
        <v>87.69</v>
      </c>
      <c r="AD42" s="2">
        <f t="shared" si="1"/>
        <v>7.1200000000000045</v>
      </c>
      <c r="AE42" s="137">
        <f t="shared" si="2"/>
        <v>-8.0142662330850767E-2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10"/>
      <c r="J43" s="10"/>
      <c r="O43" s="82">
        <v>1.1000000000000001</v>
      </c>
      <c r="P43" s="82">
        <f>O43*$Q$4</f>
        <v>76.791000000000011</v>
      </c>
      <c r="Q43" s="2"/>
      <c r="T43" s="107" t="s">
        <v>101</v>
      </c>
      <c r="U43" s="365" t="s">
        <v>129</v>
      </c>
      <c r="W43" s="132">
        <v>42739</v>
      </c>
      <c r="X43" s="10">
        <v>95.37</v>
      </c>
      <c r="Y43" s="10">
        <v>96.39</v>
      </c>
      <c r="Z43" s="10">
        <v>95.09</v>
      </c>
      <c r="AA43" s="10">
        <v>95.63</v>
      </c>
      <c r="AB43" s="94">
        <v>1050000</v>
      </c>
      <c r="AC43" s="10">
        <v>95.33</v>
      </c>
      <c r="AD43" s="2">
        <f t="shared" si="1"/>
        <v>1.2999999999999972</v>
      </c>
      <c r="AE43" s="137">
        <f t="shared" si="2"/>
        <v>7.2907861369400084E-3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10"/>
      <c r="J44" s="10"/>
      <c r="O44" s="82">
        <v>1.0900000000000001</v>
      </c>
      <c r="P44" s="82">
        <f t="shared" ref="P44:P63" si="24">O44*$Q$4</f>
        <v>76.092900000000014</v>
      </c>
      <c r="Q44" s="2"/>
      <c r="T44" s="107" t="s">
        <v>102</v>
      </c>
      <c r="U44" s="365">
        <v>104.08</v>
      </c>
      <c r="W44" s="132">
        <v>42738</v>
      </c>
      <c r="X44" s="10">
        <v>94.79</v>
      </c>
      <c r="Y44" s="10">
        <v>95.92</v>
      </c>
      <c r="Z44" s="10">
        <v>93.97</v>
      </c>
      <c r="AA44" s="10">
        <v>94.94</v>
      </c>
      <c r="AB44" s="94">
        <v>1337700</v>
      </c>
      <c r="AC44" s="10">
        <v>94.64</v>
      </c>
      <c r="AD44" s="2">
        <f t="shared" si="1"/>
        <v>1.9500000000000028</v>
      </c>
      <c r="AE44" s="137">
        <f t="shared" si="2"/>
        <v>7.237122179651001E-3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10"/>
      <c r="O45" s="82">
        <v>1.08</v>
      </c>
      <c r="P45" s="82">
        <f t="shared" si="24"/>
        <v>75.394800000000004</v>
      </c>
      <c r="Q45" s="2"/>
      <c r="T45" s="107" t="s">
        <v>103</v>
      </c>
      <c r="U45" s="365">
        <v>0.67826299999999995</v>
      </c>
      <c r="W45" s="132">
        <v>42734</v>
      </c>
      <c r="X45" s="10">
        <v>93.91</v>
      </c>
      <c r="Y45" s="10">
        <v>94.99</v>
      </c>
      <c r="Z45" s="10">
        <v>93.54</v>
      </c>
      <c r="AA45" s="10">
        <v>94.26</v>
      </c>
      <c r="AB45" s="94">
        <v>979500</v>
      </c>
      <c r="AC45" s="10">
        <v>93.96</v>
      </c>
      <c r="AD45" s="2">
        <f t="shared" si="1"/>
        <v>1.4499999999999886</v>
      </c>
      <c r="AE45" s="137">
        <f t="shared" si="2"/>
        <v>3.3101975440468223E-3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10"/>
      <c r="O46" s="82">
        <v>1.07</v>
      </c>
      <c r="P46" s="82">
        <f t="shared" si="24"/>
        <v>74.696700000000007</v>
      </c>
      <c r="Q46" s="2"/>
      <c r="T46" s="107" t="s">
        <v>104</v>
      </c>
      <c r="U46" s="365" t="s">
        <v>361</v>
      </c>
      <c r="W46" s="132">
        <v>42733</v>
      </c>
      <c r="X46" s="10">
        <v>93.74</v>
      </c>
      <c r="Y46" s="10">
        <v>95.04</v>
      </c>
      <c r="Z46" s="10">
        <v>93.4</v>
      </c>
      <c r="AA46" s="10">
        <v>93.95</v>
      </c>
      <c r="AB46" s="94">
        <v>709400</v>
      </c>
      <c r="AC46" s="10">
        <v>93.65</v>
      </c>
      <c r="AD46" s="2">
        <f t="shared" si="1"/>
        <v>1.6400000000000006</v>
      </c>
      <c r="AE46" s="137">
        <f t="shared" si="2"/>
        <v>2.5693180601649157E-3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10"/>
      <c r="O47" s="82">
        <v>1.06</v>
      </c>
      <c r="P47" s="82">
        <f t="shared" si="24"/>
        <v>73.99860000000001</v>
      </c>
      <c r="Q47" s="2"/>
      <c r="T47" s="107"/>
      <c r="U47" s="365"/>
      <c r="W47" s="132">
        <v>42732</v>
      </c>
      <c r="X47" s="10">
        <v>94.18</v>
      </c>
      <c r="Y47" s="10">
        <v>94.95</v>
      </c>
      <c r="Z47" s="10">
        <v>92.96</v>
      </c>
      <c r="AA47" s="10">
        <v>93.7</v>
      </c>
      <c r="AB47" s="94">
        <v>936000</v>
      </c>
      <c r="AC47" s="10">
        <v>93.41</v>
      </c>
      <c r="AD47" s="2">
        <f t="shared" si="1"/>
        <v>1.9900000000000091</v>
      </c>
      <c r="AE47" s="137">
        <f t="shared" si="2"/>
        <v>-1.0704345964462902E-4</v>
      </c>
    </row>
    <row r="48" spans="1:31" x14ac:dyDescent="0.25">
      <c r="O48" s="82">
        <v>1.05</v>
      </c>
      <c r="P48" s="82">
        <f t="shared" si="24"/>
        <v>73.3005</v>
      </c>
      <c r="Q48" s="2"/>
      <c r="T48" s="107" t="s">
        <v>105</v>
      </c>
      <c r="U48" s="365" t="s">
        <v>592</v>
      </c>
      <c r="W48" s="132">
        <v>42731</v>
      </c>
      <c r="X48" s="10">
        <v>93.14</v>
      </c>
      <c r="Y48" s="10">
        <v>95</v>
      </c>
      <c r="Z48" s="10">
        <v>93.14</v>
      </c>
      <c r="AA48" s="10">
        <v>93.71</v>
      </c>
      <c r="AB48" s="94">
        <v>1132400</v>
      </c>
      <c r="AC48" s="10">
        <v>93.42</v>
      </c>
      <c r="AD48" s="2">
        <f t="shared" si="1"/>
        <v>1.8599999999999994</v>
      </c>
      <c r="AE48" s="137">
        <f t="shared" si="2"/>
        <v>5.3809728798965839E-3</v>
      </c>
    </row>
    <row r="49" spans="2:31" x14ac:dyDescent="0.25">
      <c r="O49" s="82">
        <v>1.04</v>
      </c>
      <c r="P49" s="82">
        <f t="shared" si="24"/>
        <v>72.602400000000003</v>
      </c>
      <c r="Q49" s="2"/>
      <c r="T49" s="107" t="s">
        <v>106</v>
      </c>
      <c r="U49" s="365" t="s">
        <v>549</v>
      </c>
      <c r="W49" s="132">
        <v>42727</v>
      </c>
      <c r="X49" s="10">
        <v>93.71</v>
      </c>
      <c r="Y49" s="10">
        <v>94.78</v>
      </c>
      <c r="Z49" s="10">
        <v>92.65</v>
      </c>
      <c r="AA49" s="10">
        <v>93.21</v>
      </c>
      <c r="AB49" s="94">
        <v>948000</v>
      </c>
      <c r="AC49" s="10">
        <v>92.92</v>
      </c>
      <c r="AD49" s="2">
        <f t="shared" si="1"/>
        <v>2.1299999999999955</v>
      </c>
      <c r="AE49" s="137">
        <f t="shared" si="2"/>
        <v>-2.040597143163958E-3</v>
      </c>
    </row>
    <row r="50" spans="2:31" x14ac:dyDescent="0.25">
      <c r="O50" s="82">
        <v>1.03</v>
      </c>
      <c r="P50" s="82">
        <f t="shared" si="24"/>
        <v>71.904300000000006</v>
      </c>
      <c r="Q50" s="2"/>
      <c r="T50" s="107" t="s">
        <v>107</v>
      </c>
      <c r="U50" s="366">
        <v>3314076</v>
      </c>
      <c r="W50" s="132">
        <v>42726</v>
      </c>
      <c r="X50" s="10">
        <v>94.28</v>
      </c>
      <c r="Y50" s="10">
        <v>95.45</v>
      </c>
      <c r="Z50" s="10">
        <v>93.21</v>
      </c>
      <c r="AA50" s="10">
        <v>93.4</v>
      </c>
      <c r="AB50" s="94">
        <v>1210700</v>
      </c>
      <c r="AC50" s="10">
        <v>93.11</v>
      </c>
      <c r="AD50" s="2">
        <f t="shared" si="1"/>
        <v>2.2400000000000091</v>
      </c>
      <c r="AE50" s="137">
        <f t="shared" si="2"/>
        <v>-1.4291763709506577E-2</v>
      </c>
    </row>
    <row r="51" spans="2:31" x14ac:dyDescent="0.25">
      <c r="O51" s="82">
        <v>1.02</v>
      </c>
      <c r="P51" s="82">
        <f t="shared" si="24"/>
        <v>71.20620000000001</v>
      </c>
      <c r="Q51" s="2"/>
      <c r="T51" s="107" t="s">
        <v>110</v>
      </c>
      <c r="U51" s="366">
        <v>1624970</v>
      </c>
      <c r="W51" s="132">
        <v>42725</v>
      </c>
      <c r="X51" s="10">
        <v>95.05</v>
      </c>
      <c r="Y51" s="10">
        <v>95.61</v>
      </c>
      <c r="Z51" s="10">
        <v>94.06</v>
      </c>
      <c r="AA51" s="10">
        <v>94.76</v>
      </c>
      <c r="AB51" s="94">
        <v>679400</v>
      </c>
      <c r="AC51" s="10">
        <v>94.46</v>
      </c>
      <c r="AD51" s="2">
        <f t="shared" si="1"/>
        <v>1.5499999999999972</v>
      </c>
      <c r="AE51" s="137">
        <f t="shared" si="2"/>
        <v>-4.4266441821247948E-3</v>
      </c>
    </row>
    <row r="52" spans="2:31" x14ac:dyDescent="0.25">
      <c r="O52" s="82">
        <v>1.01</v>
      </c>
      <c r="P52" s="82">
        <f t="shared" si="24"/>
        <v>70.508099999999999</v>
      </c>
      <c r="Q52" s="2"/>
      <c r="T52" s="107" t="s">
        <v>108</v>
      </c>
      <c r="U52" s="365" t="s">
        <v>593</v>
      </c>
      <c r="W52" s="132">
        <v>42724</v>
      </c>
      <c r="X52" s="10">
        <v>95</v>
      </c>
      <c r="Y52" s="10">
        <v>96.2</v>
      </c>
      <c r="Z52" s="10">
        <v>94.47</v>
      </c>
      <c r="AA52" s="10">
        <v>95.18</v>
      </c>
      <c r="AB52" s="94">
        <v>596000</v>
      </c>
      <c r="AC52" s="10">
        <v>94.88</v>
      </c>
      <c r="AD52" s="2">
        <f t="shared" si="1"/>
        <v>1.730000000000004</v>
      </c>
      <c r="AE52" s="137">
        <f t="shared" si="2"/>
        <v>8.1819147805759496E-3</v>
      </c>
    </row>
    <row r="53" spans="2:31" x14ac:dyDescent="0.25">
      <c r="O53" s="82">
        <v>1</v>
      </c>
      <c r="P53" s="82">
        <f t="shared" si="24"/>
        <v>69.81</v>
      </c>
      <c r="Q53" s="2"/>
      <c r="T53" s="107" t="s">
        <v>111</v>
      </c>
      <c r="U53" s="365">
        <v>9.67</v>
      </c>
      <c r="W53" s="132">
        <v>42723</v>
      </c>
      <c r="X53" s="10">
        <v>94</v>
      </c>
      <c r="Y53" s="10">
        <v>95.81</v>
      </c>
      <c r="Z53" s="10">
        <v>94</v>
      </c>
      <c r="AA53" s="10">
        <v>94.41</v>
      </c>
      <c r="AB53" s="94">
        <v>836500</v>
      </c>
      <c r="AC53" s="10">
        <v>94.11</v>
      </c>
      <c r="AD53" s="2">
        <f t="shared" si="1"/>
        <v>1.8100000000000023</v>
      </c>
      <c r="AE53" s="137">
        <f t="shared" si="2"/>
        <v>3.6258931427961549E-3</v>
      </c>
    </row>
    <row r="54" spans="2:31" x14ac:dyDescent="0.25">
      <c r="O54" s="82">
        <v>0.99</v>
      </c>
      <c r="P54" s="82">
        <f t="shared" si="24"/>
        <v>69.111900000000006</v>
      </c>
      <c r="Q54" s="2"/>
      <c r="T54" s="107" t="s">
        <v>112</v>
      </c>
      <c r="U54" s="365">
        <v>6.68</v>
      </c>
      <c r="W54" s="132">
        <v>42720</v>
      </c>
      <c r="X54" s="10">
        <v>94.97</v>
      </c>
      <c r="Y54" s="10">
        <v>95.87</v>
      </c>
      <c r="Z54" s="10">
        <v>93.25</v>
      </c>
      <c r="AA54" s="10">
        <v>94.07</v>
      </c>
      <c r="AB54" s="94">
        <v>2840300</v>
      </c>
      <c r="AC54" s="10">
        <v>93.77</v>
      </c>
      <c r="AD54" s="2">
        <f t="shared" si="1"/>
        <v>2.6200000000000045</v>
      </c>
      <c r="AE54" s="137">
        <f t="shared" si="2"/>
        <v>-1.0029560810810856E-2</v>
      </c>
    </row>
    <row r="55" spans="2:31" x14ac:dyDescent="0.25">
      <c r="O55" s="82">
        <v>0.98</v>
      </c>
      <c r="P55" s="82">
        <f t="shared" si="24"/>
        <v>68.413799999999995</v>
      </c>
      <c r="Q55" s="2"/>
      <c r="T55" s="107" t="s">
        <v>109</v>
      </c>
      <c r="U55" s="365" t="s">
        <v>594</v>
      </c>
      <c r="W55" s="132">
        <v>42719</v>
      </c>
      <c r="X55" s="10">
        <v>95.31</v>
      </c>
      <c r="Y55" s="10">
        <v>96.75</v>
      </c>
      <c r="Z55" s="10">
        <v>94.82</v>
      </c>
      <c r="AA55" s="10">
        <v>95.02</v>
      </c>
      <c r="AB55" s="94">
        <v>849900</v>
      </c>
      <c r="AC55" s="10">
        <v>94.72</v>
      </c>
      <c r="AD55" s="2">
        <f t="shared" si="1"/>
        <v>1.9300000000000068</v>
      </c>
      <c r="AE55" s="137">
        <f t="shared" si="2"/>
        <v>5.2815041723874856E-4</v>
      </c>
    </row>
    <row r="56" spans="2:31" x14ac:dyDescent="0.25">
      <c r="O56" s="82">
        <v>0.97</v>
      </c>
      <c r="P56" s="82">
        <f t="shared" si="24"/>
        <v>67.715699999999998</v>
      </c>
      <c r="W56" s="132">
        <v>42718</v>
      </c>
      <c r="X56" s="10">
        <v>96.58</v>
      </c>
      <c r="Y56" s="10">
        <v>96.87</v>
      </c>
      <c r="Z56" s="10">
        <v>94.4</v>
      </c>
      <c r="AA56" s="10">
        <v>94.97</v>
      </c>
      <c r="AB56" s="94">
        <v>961700</v>
      </c>
      <c r="AC56" s="10">
        <v>94.67</v>
      </c>
      <c r="AD56" s="2">
        <f t="shared" si="1"/>
        <v>2.4699999999999989</v>
      </c>
      <c r="AE56" s="137">
        <f t="shared" si="2"/>
        <v>-1.2516950036507768E-2</v>
      </c>
    </row>
    <row r="57" spans="2:31" x14ac:dyDescent="0.25">
      <c r="B57" s="377">
        <v>42516</v>
      </c>
      <c r="C57" s="378">
        <v>20</v>
      </c>
      <c r="D57" s="379">
        <v>96.2</v>
      </c>
      <c r="E57" s="379">
        <v>97</v>
      </c>
      <c r="F57" s="379">
        <f t="shared" ref="F57:F65" si="25">C57*(E57-D57)</f>
        <v>15.999999999999943</v>
      </c>
      <c r="G57" s="379">
        <f t="shared" ref="G57:G65" si="26">D57*C57</f>
        <v>1924</v>
      </c>
      <c r="H57" s="380">
        <f t="shared" ref="H57:H65" si="27">(E57-D57)/D57</f>
        <v>8.316008316008287E-3</v>
      </c>
      <c r="I57" s="380"/>
      <c r="O57" s="82">
        <v>0.96</v>
      </c>
      <c r="P57" s="82">
        <f t="shared" si="24"/>
        <v>67.017600000000002</v>
      </c>
      <c r="W57" s="132">
        <v>42717</v>
      </c>
      <c r="X57" s="10">
        <v>96.47</v>
      </c>
      <c r="Y57" s="10">
        <v>97.04</v>
      </c>
      <c r="Z57" s="10">
        <v>94.33</v>
      </c>
      <c r="AA57" s="10">
        <v>96.17</v>
      </c>
      <c r="AB57" s="94">
        <v>900700</v>
      </c>
      <c r="AC57" s="10">
        <v>95.87</v>
      </c>
      <c r="AD57" s="2">
        <f t="shared" si="1"/>
        <v>2.710000000000008</v>
      </c>
      <c r="AE57" s="137">
        <f t="shared" si="2"/>
        <v>-2.289520241440357E-3</v>
      </c>
    </row>
    <row r="58" spans="2:31" x14ac:dyDescent="0.25">
      <c r="B58" s="377">
        <v>42522</v>
      </c>
      <c r="C58" s="378">
        <v>20</v>
      </c>
      <c r="D58" s="379">
        <v>96.2</v>
      </c>
      <c r="E58" s="379">
        <v>98.73</v>
      </c>
      <c r="F58" s="379">
        <f t="shared" si="25"/>
        <v>50.600000000000023</v>
      </c>
      <c r="G58" s="379">
        <f t="shared" si="26"/>
        <v>1924</v>
      </c>
      <c r="H58" s="380">
        <f t="shared" si="27"/>
        <v>2.6299376299376311E-2</v>
      </c>
      <c r="I58" s="380"/>
      <c r="O58" s="82">
        <v>0.95</v>
      </c>
      <c r="P58" s="82">
        <f t="shared" si="24"/>
        <v>66.319500000000005</v>
      </c>
      <c r="W58" s="132">
        <v>42716</v>
      </c>
      <c r="X58" s="10">
        <v>98.49</v>
      </c>
      <c r="Y58" s="10">
        <v>98.72</v>
      </c>
      <c r="Z58" s="10">
        <v>96.22</v>
      </c>
      <c r="AA58" s="10">
        <v>96.39</v>
      </c>
      <c r="AB58" s="94">
        <v>956900</v>
      </c>
      <c r="AC58" s="10">
        <v>96.09</v>
      </c>
      <c r="AD58" s="2">
        <f t="shared" si="1"/>
        <v>2.5</v>
      </c>
      <c r="AE58" s="137">
        <f t="shared" si="2"/>
        <v>-2.3574839955288973E-2</v>
      </c>
    </row>
    <row r="59" spans="2:31" x14ac:dyDescent="0.25">
      <c r="B59" s="377">
        <v>42527</v>
      </c>
      <c r="C59" s="378">
        <v>45</v>
      </c>
      <c r="D59" s="379">
        <v>90.305599999999998</v>
      </c>
      <c r="E59" s="379">
        <v>86.39</v>
      </c>
      <c r="F59" s="379">
        <f t="shared" si="25"/>
        <v>-176.20199999999988</v>
      </c>
      <c r="G59" s="379">
        <f t="shared" si="26"/>
        <v>4063.752</v>
      </c>
      <c r="H59" s="380">
        <f t="shared" si="27"/>
        <v>-4.3359437288495929E-2</v>
      </c>
      <c r="I59" s="381"/>
      <c r="O59" s="82">
        <v>0.94</v>
      </c>
      <c r="P59" s="82">
        <f t="shared" si="24"/>
        <v>65.621399999999994</v>
      </c>
      <c r="W59" s="132">
        <v>42713</v>
      </c>
      <c r="X59" s="10">
        <v>97.7</v>
      </c>
      <c r="Y59" s="10">
        <v>98.88</v>
      </c>
      <c r="Z59" s="10">
        <v>96.34</v>
      </c>
      <c r="AA59" s="10">
        <v>98.72</v>
      </c>
      <c r="AB59" s="94">
        <v>1782000</v>
      </c>
      <c r="AC59" s="10">
        <v>98.41</v>
      </c>
      <c r="AD59" s="2">
        <f t="shared" si="1"/>
        <v>2.539999999999992</v>
      </c>
      <c r="AE59" s="137">
        <f t="shared" si="2"/>
        <v>6.8549212195621045E-3</v>
      </c>
    </row>
    <row r="60" spans="2:31" x14ac:dyDescent="0.25">
      <c r="B60" s="377">
        <v>42529</v>
      </c>
      <c r="C60" s="378">
        <v>25</v>
      </c>
      <c r="D60" s="379">
        <v>91.3596</v>
      </c>
      <c r="E60" s="379">
        <v>89.31</v>
      </c>
      <c r="F60" s="379">
        <f t="shared" si="25"/>
        <v>-51.239999999999952</v>
      </c>
      <c r="G60" s="379">
        <f t="shared" si="26"/>
        <v>2283.9899999999998</v>
      </c>
      <c r="H60" s="380">
        <f t="shared" si="27"/>
        <v>-2.2434423968581276E-2</v>
      </c>
      <c r="I60" s="380"/>
      <c r="O60" s="82">
        <v>0.93</v>
      </c>
      <c r="P60" s="82">
        <f t="shared" si="24"/>
        <v>64.923300000000012</v>
      </c>
      <c r="W60" s="132">
        <v>42712</v>
      </c>
      <c r="X60" s="10">
        <v>95</v>
      </c>
      <c r="Y60" s="10">
        <v>99.19</v>
      </c>
      <c r="Z60" s="10">
        <v>94.2</v>
      </c>
      <c r="AA60" s="10">
        <v>98.05</v>
      </c>
      <c r="AB60" s="94">
        <v>1529900</v>
      </c>
      <c r="AC60" s="10">
        <v>97.74</v>
      </c>
      <c r="AD60" s="2">
        <f t="shared" si="1"/>
        <v>4.9899999999999949</v>
      </c>
      <c r="AE60" s="137">
        <f t="shared" si="2"/>
        <v>2.8950415833245646E-2</v>
      </c>
    </row>
    <row r="61" spans="2:31" x14ac:dyDescent="0.25">
      <c r="B61" s="377">
        <v>42534</v>
      </c>
      <c r="C61" s="378">
        <v>25</v>
      </c>
      <c r="D61" s="379">
        <v>91.3596</v>
      </c>
      <c r="E61" s="379">
        <v>85.51</v>
      </c>
      <c r="F61" s="379">
        <f t="shared" si="25"/>
        <v>-146.2399999999999</v>
      </c>
      <c r="G61" s="379">
        <f t="shared" si="26"/>
        <v>2283.9899999999998</v>
      </c>
      <c r="H61" s="380">
        <f t="shared" si="27"/>
        <v>-6.402830134983073E-2</v>
      </c>
      <c r="I61" s="380"/>
      <c r="O61" s="82">
        <v>0.92</v>
      </c>
      <c r="P61" s="82">
        <f t="shared" si="24"/>
        <v>64.225200000000001</v>
      </c>
      <c r="W61" s="132">
        <v>42711</v>
      </c>
      <c r="X61" s="10">
        <v>94.5</v>
      </c>
      <c r="Y61" s="10">
        <v>95.55</v>
      </c>
      <c r="Z61" s="10">
        <v>93.56</v>
      </c>
      <c r="AA61" s="10">
        <v>95.29</v>
      </c>
      <c r="AB61" s="94">
        <v>1253700</v>
      </c>
      <c r="AC61" s="10">
        <v>94.99</v>
      </c>
      <c r="AD61" s="2">
        <f t="shared" si="1"/>
        <v>1.9899999999999949</v>
      </c>
      <c r="AE61" s="137">
        <f t="shared" si="2"/>
        <v>1.3983774551665107E-2</v>
      </c>
    </row>
    <row r="62" spans="2:31" x14ac:dyDescent="0.25">
      <c r="B62" s="377">
        <v>42535</v>
      </c>
      <c r="C62" s="378">
        <v>50</v>
      </c>
      <c r="D62" s="379">
        <v>87.0548</v>
      </c>
      <c r="E62" s="379">
        <v>83.87</v>
      </c>
      <c r="F62" s="379">
        <f t="shared" si="25"/>
        <v>-159.23999999999978</v>
      </c>
      <c r="G62" s="379">
        <f t="shared" si="26"/>
        <v>4352.74</v>
      </c>
      <c r="H62" s="380">
        <f t="shared" si="27"/>
        <v>-3.6583852929419118E-2</v>
      </c>
      <c r="I62" s="380"/>
      <c r="O62" s="82">
        <v>0.91</v>
      </c>
      <c r="P62" s="82">
        <f t="shared" si="24"/>
        <v>63.527100000000004</v>
      </c>
      <c r="W62" s="132">
        <v>42710</v>
      </c>
      <c r="X62" s="10">
        <v>92.25</v>
      </c>
      <c r="Y62" s="10">
        <v>94.22</v>
      </c>
      <c r="Z62" s="10">
        <v>92.25</v>
      </c>
      <c r="AA62" s="10">
        <v>93.98</v>
      </c>
      <c r="AB62" s="94">
        <v>1871600</v>
      </c>
      <c r="AC62" s="10">
        <v>93.68</v>
      </c>
      <c r="AD62" s="2">
        <f t="shared" si="1"/>
        <v>1.9699999999999989</v>
      </c>
      <c r="AE62" s="137">
        <f t="shared" si="2"/>
        <v>3.5350830208893402E-3</v>
      </c>
    </row>
    <row r="63" spans="2:31" x14ac:dyDescent="0.25">
      <c r="B63" s="377">
        <v>42541</v>
      </c>
      <c r="C63" s="378">
        <v>25</v>
      </c>
      <c r="D63" s="379">
        <v>87.521600000000007</v>
      </c>
      <c r="E63" s="379">
        <v>86.01</v>
      </c>
      <c r="F63" s="379">
        <f t="shared" si="25"/>
        <v>-37.790000000000035</v>
      </c>
      <c r="G63" s="379">
        <f t="shared" si="26"/>
        <v>2188.04</v>
      </c>
      <c r="H63" s="380">
        <f t="shared" si="27"/>
        <v>-1.7271165060967823E-2</v>
      </c>
      <c r="I63" s="380"/>
      <c r="O63" s="82">
        <v>0.9</v>
      </c>
      <c r="P63" s="82">
        <f t="shared" si="24"/>
        <v>62.829000000000001</v>
      </c>
      <c r="W63" s="132">
        <v>42709</v>
      </c>
      <c r="X63" s="10">
        <v>92.7</v>
      </c>
      <c r="Y63" s="10">
        <v>94.13</v>
      </c>
      <c r="Z63" s="10">
        <v>92.1</v>
      </c>
      <c r="AA63" s="10">
        <v>93.64</v>
      </c>
      <c r="AB63" s="94">
        <v>1598700</v>
      </c>
      <c r="AC63" s="10">
        <v>93.35</v>
      </c>
      <c r="AD63" s="2">
        <f t="shared" si="1"/>
        <v>2.0300000000000011</v>
      </c>
      <c r="AE63" s="137">
        <f t="shared" si="2"/>
        <v>1.7106123338417989E-2</v>
      </c>
    </row>
    <row r="64" spans="2:31" x14ac:dyDescent="0.25">
      <c r="B64" s="377">
        <v>42546</v>
      </c>
      <c r="C64" s="378">
        <v>25</v>
      </c>
      <c r="D64" s="379">
        <v>87.521600000000007</v>
      </c>
      <c r="E64" s="379">
        <v>82.02</v>
      </c>
      <c r="F64" s="379">
        <f t="shared" si="25"/>
        <v>-137.54000000000025</v>
      </c>
      <c r="G64" s="379">
        <f t="shared" si="26"/>
        <v>2188.04</v>
      </c>
      <c r="H64" s="380">
        <f t="shared" si="27"/>
        <v>-6.285991115336112E-2</v>
      </c>
      <c r="I64" s="380"/>
      <c r="W64" s="132">
        <v>42706</v>
      </c>
      <c r="X64" s="10">
        <v>91.62</v>
      </c>
      <c r="Y64" s="10">
        <v>92.98</v>
      </c>
      <c r="Z64" s="10">
        <v>90.83</v>
      </c>
      <c r="AA64" s="10">
        <v>92.07</v>
      </c>
      <c r="AB64" s="94">
        <v>1459000</v>
      </c>
      <c r="AC64" s="10">
        <v>91.78</v>
      </c>
      <c r="AD64" s="2">
        <f t="shared" si="1"/>
        <v>2.1500000000000057</v>
      </c>
      <c r="AE64" s="137">
        <f t="shared" si="2"/>
        <v>9.0149516270889851E-3</v>
      </c>
    </row>
    <row r="65" spans="2:31" x14ac:dyDescent="0.25">
      <c r="B65" s="377">
        <v>42548</v>
      </c>
      <c r="C65" s="378">
        <v>75</v>
      </c>
      <c r="D65" s="379">
        <v>81.493899999999996</v>
      </c>
      <c r="E65" s="379">
        <v>79.260000000000005</v>
      </c>
      <c r="F65" s="379">
        <f t="shared" si="25"/>
        <v>-167.54249999999934</v>
      </c>
      <c r="G65" s="379">
        <f t="shared" si="26"/>
        <v>6112.0424999999996</v>
      </c>
      <c r="H65" s="380">
        <f t="shared" si="27"/>
        <v>-2.7411867636718715E-2</v>
      </c>
      <c r="I65" s="380"/>
      <c r="W65" s="132">
        <v>42705</v>
      </c>
      <c r="X65" s="10">
        <v>91.83</v>
      </c>
      <c r="Y65" s="10">
        <v>93.09</v>
      </c>
      <c r="Z65" s="10">
        <v>91.07</v>
      </c>
      <c r="AA65" s="10">
        <v>91.25</v>
      </c>
      <c r="AB65" s="94">
        <v>1237200</v>
      </c>
      <c r="AC65" s="10">
        <v>90.96</v>
      </c>
      <c r="AD65" s="2">
        <f t="shared" si="1"/>
        <v>2.0200000000000102</v>
      </c>
      <c r="AE65" s="137">
        <f t="shared" si="2"/>
        <v>-4.3956043956050461E-4</v>
      </c>
    </row>
    <row r="66" spans="2:31" x14ac:dyDescent="0.25">
      <c r="B66" s="377">
        <v>42549</v>
      </c>
      <c r="C66" s="378">
        <v>75</v>
      </c>
      <c r="D66" s="379">
        <v>81.493899999999996</v>
      </c>
      <c r="E66" s="379">
        <v>80.72</v>
      </c>
      <c r="F66" s="379">
        <f t="shared" ref="F66:F78" si="28">C66*(E66-D66)</f>
        <v>-58.042499999999819</v>
      </c>
      <c r="G66" s="379">
        <f t="shared" ref="G66:G78" si="29">D66*C66</f>
        <v>6112.0424999999996</v>
      </c>
      <c r="H66" s="380">
        <f t="shared" ref="H66:H78" si="30">(E66-D66)/D66</f>
        <v>-9.4964162961890114E-3</v>
      </c>
      <c r="I66" s="380"/>
      <c r="W66" s="132">
        <v>42704</v>
      </c>
      <c r="X66" s="10">
        <v>91.66</v>
      </c>
      <c r="Y66" s="10">
        <v>93.63</v>
      </c>
      <c r="Z66" s="10">
        <v>90.67</v>
      </c>
      <c r="AA66" s="10">
        <v>91.29</v>
      </c>
      <c r="AB66" s="94">
        <v>1337600</v>
      </c>
      <c r="AC66" s="10">
        <v>91</v>
      </c>
      <c r="AD66" s="2">
        <f t="shared" si="1"/>
        <v>2.9599999999999937</v>
      </c>
      <c r="AE66" s="137">
        <f t="shared" si="2"/>
        <v>-5.7904512181798928E-3</v>
      </c>
    </row>
    <row r="67" spans="2:31" x14ac:dyDescent="0.25">
      <c r="B67" s="377">
        <v>42552</v>
      </c>
      <c r="C67" s="378">
        <v>55</v>
      </c>
      <c r="D67" s="379">
        <v>80.590500000000006</v>
      </c>
      <c r="E67" s="379">
        <v>84.15</v>
      </c>
      <c r="F67" s="379">
        <f t="shared" si="28"/>
        <v>195.77249999999998</v>
      </c>
      <c r="G67" s="379">
        <f t="shared" si="29"/>
        <v>4432.4775</v>
      </c>
      <c r="H67" s="380">
        <f t="shared" si="30"/>
        <v>4.4167736892065435E-2</v>
      </c>
      <c r="I67" s="380"/>
      <c r="W67" s="132">
        <v>42703</v>
      </c>
      <c r="X67" s="10">
        <v>92.97</v>
      </c>
      <c r="Y67" s="10">
        <v>94</v>
      </c>
      <c r="Z67" s="10">
        <v>91.57</v>
      </c>
      <c r="AA67" s="10">
        <v>91.82</v>
      </c>
      <c r="AB67" s="94">
        <v>1398000</v>
      </c>
      <c r="AC67" s="10">
        <v>91.53</v>
      </c>
      <c r="AD67" s="2">
        <f>Y67-Z67</f>
        <v>2.4300000000000068</v>
      </c>
      <c r="AE67" s="137">
        <f>AC67/AC68-1</f>
        <v>-4.5676998368678889E-3</v>
      </c>
    </row>
    <row r="68" spans="2:31" x14ac:dyDescent="0.25">
      <c r="B68" s="377">
        <v>42556</v>
      </c>
      <c r="C68" s="378">
        <v>55</v>
      </c>
      <c r="D68" s="379">
        <v>80.590500000000006</v>
      </c>
      <c r="E68" s="379">
        <v>81.290000000000006</v>
      </c>
      <c r="F68" s="379">
        <f t="shared" si="28"/>
        <v>38.472500000000025</v>
      </c>
      <c r="G68" s="379">
        <f t="shared" si="29"/>
        <v>4432.4775</v>
      </c>
      <c r="H68" s="380">
        <f t="shared" si="30"/>
        <v>8.6796830891978632E-3</v>
      </c>
      <c r="I68" s="380"/>
      <c r="W68" s="132">
        <v>42702</v>
      </c>
      <c r="X68" s="10">
        <v>92.93</v>
      </c>
      <c r="Y68" s="10">
        <v>94.49</v>
      </c>
      <c r="Z68" s="10">
        <v>92</v>
      </c>
      <c r="AA68" s="10">
        <v>92.24</v>
      </c>
      <c r="AB68" s="94">
        <v>1149100</v>
      </c>
      <c r="AC68" s="10">
        <v>91.95</v>
      </c>
      <c r="AD68" s="2">
        <f>Y68-Z68</f>
        <v>2.4899999999999949</v>
      </c>
      <c r="AE68" s="137" t="e">
        <f>AC68/AC69-1</f>
        <v>#DIV/0!</v>
      </c>
    </row>
    <row r="69" spans="2:31" x14ac:dyDescent="0.25">
      <c r="B69" s="377">
        <v>42563</v>
      </c>
      <c r="C69" s="378">
        <v>55</v>
      </c>
      <c r="D69" s="379">
        <v>80.590500000000006</v>
      </c>
      <c r="E69" s="379">
        <v>89.07</v>
      </c>
      <c r="F69" s="379">
        <f t="shared" si="28"/>
        <v>466.37249999999932</v>
      </c>
      <c r="G69" s="379">
        <f t="shared" si="29"/>
        <v>4432.4775</v>
      </c>
      <c r="H69" s="380">
        <f t="shared" si="30"/>
        <v>0.10521711616133399</v>
      </c>
      <c r="I69" s="380"/>
      <c r="W69" s="283" t="s">
        <v>121</v>
      </c>
      <c r="AB69" s="234"/>
    </row>
    <row r="70" spans="2:31" x14ac:dyDescent="0.25">
      <c r="B70" s="377">
        <v>42566</v>
      </c>
      <c r="C70" s="378">
        <v>55</v>
      </c>
      <c r="D70" s="379">
        <v>80.590500000000006</v>
      </c>
      <c r="E70" s="379">
        <v>90.34</v>
      </c>
      <c r="F70" s="379">
        <f t="shared" si="28"/>
        <v>536.22249999999985</v>
      </c>
      <c r="G70" s="379">
        <f t="shared" si="29"/>
        <v>4432.4775</v>
      </c>
      <c r="H70" s="380">
        <f t="shared" si="30"/>
        <v>0.12097579739547462</v>
      </c>
      <c r="I70" s="380"/>
    </row>
    <row r="71" spans="2:31" x14ac:dyDescent="0.25">
      <c r="B71" s="377">
        <v>42569</v>
      </c>
      <c r="C71" s="378">
        <v>50</v>
      </c>
      <c r="D71" s="379">
        <v>79.449799999999996</v>
      </c>
      <c r="E71" s="379">
        <v>92.26</v>
      </c>
      <c r="F71" s="379">
        <f t="shared" si="28"/>
        <v>640.51000000000045</v>
      </c>
      <c r="G71" s="379">
        <f t="shared" si="29"/>
        <v>3972.49</v>
      </c>
      <c r="H71" s="380">
        <f t="shared" si="30"/>
        <v>0.16123640336413697</v>
      </c>
      <c r="I71" s="380"/>
    </row>
    <row r="72" spans="2:31" x14ac:dyDescent="0.25">
      <c r="B72" s="377">
        <v>42570</v>
      </c>
      <c r="C72" s="378">
        <v>50</v>
      </c>
      <c r="D72" s="379">
        <v>79.449799999999996</v>
      </c>
      <c r="E72" s="379">
        <v>90.39</v>
      </c>
      <c r="F72" s="379">
        <f t="shared" si="28"/>
        <v>547.01000000000022</v>
      </c>
      <c r="G72" s="379">
        <f t="shared" si="29"/>
        <v>3972.49</v>
      </c>
      <c r="H72" s="380">
        <f t="shared" si="30"/>
        <v>0.13769952850730907</v>
      </c>
      <c r="I72" s="380"/>
    </row>
    <row r="73" spans="2:31" x14ac:dyDescent="0.25">
      <c r="B73" s="377">
        <v>42571</v>
      </c>
      <c r="C73" s="378">
        <v>50</v>
      </c>
      <c r="D73" s="379">
        <v>79.449799999999996</v>
      </c>
      <c r="E73" s="379">
        <v>89.55</v>
      </c>
      <c r="F73" s="379">
        <f t="shared" si="28"/>
        <v>505.01000000000005</v>
      </c>
      <c r="G73" s="379">
        <f t="shared" si="29"/>
        <v>3972.49</v>
      </c>
      <c r="H73" s="380">
        <f t="shared" si="30"/>
        <v>0.12712681466787834</v>
      </c>
      <c r="I73" s="380"/>
    </row>
    <row r="74" spans="2:31" x14ac:dyDescent="0.25">
      <c r="B74" s="377">
        <v>42572</v>
      </c>
      <c r="C74" s="378">
        <v>50</v>
      </c>
      <c r="D74" s="379">
        <v>79.449799999999996</v>
      </c>
      <c r="E74" s="379">
        <v>87.46</v>
      </c>
      <c r="F74" s="379">
        <f t="shared" si="28"/>
        <v>400.50999999999988</v>
      </c>
      <c r="G74" s="379">
        <f t="shared" si="29"/>
        <v>3972.49</v>
      </c>
      <c r="H74" s="380">
        <f t="shared" si="30"/>
        <v>0.1008208957102472</v>
      </c>
      <c r="I74" s="380"/>
    </row>
    <row r="75" spans="2:31" x14ac:dyDescent="0.25">
      <c r="B75" s="377">
        <v>42575</v>
      </c>
      <c r="C75" s="378">
        <v>50</v>
      </c>
      <c r="D75" s="379">
        <v>79.449799999999996</v>
      </c>
      <c r="E75" s="379">
        <v>89.53</v>
      </c>
      <c r="F75" s="379">
        <f t="shared" si="28"/>
        <v>504.01000000000022</v>
      </c>
      <c r="G75" s="379">
        <f t="shared" si="29"/>
        <v>3972.49</v>
      </c>
      <c r="H75" s="380">
        <f t="shared" si="30"/>
        <v>0.12687508338598719</v>
      </c>
      <c r="I75" s="380"/>
    </row>
    <row r="76" spans="2:31" x14ac:dyDescent="0.25">
      <c r="B76" s="377">
        <v>42576</v>
      </c>
      <c r="C76" s="378">
        <v>50</v>
      </c>
      <c r="D76" s="379">
        <v>79.449799999999996</v>
      </c>
      <c r="E76" s="379">
        <v>88.86</v>
      </c>
      <c r="F76" s="379">
        <f t="shared" si="28"/>
        <v>470.51000000000016</v>
      </c>
      <c r="G76" s="379">
        <f t="shared" si="29"/>
        <v>3972.49</v>
      </c>
      <c r="H76" s="380">
        <f t="shared" si="30"/>
        <v>0.11844208544263174</v>
      </c>
      <c r="I76" s="380"/>
    </row>
    <row r="77" spans="2:31" x14ac:dyDescent="0.25">
      <c r="B77" s="377">
        <v>42577</v>
      </c>
      <c r="C77" s="378">
        <v>50</v>
      </c>
      <c r="D77" s="379">
        <v>79.449799999999996</v>
      </c>
      <c r="E77" s="379">
        <v>89.46</v>
      </c>
      <c r="F77" s="379">
        <f t="shared" si="28"/>
        <v>500.50999999999988</v>
      </c>
      <c r="G77" s="379">
        <f t="shared" si="29"/>
        <v>3972.49</v>
      </c>
      <c r="H77" s="380">
        <f t="shared" si="30"/>
        <v>0.12599402389936787</v>
      </c>
      <c r="I77" s="380"/>
    </row>
    <row r="78" spans="2:31" x14ac:dyDescent="0.25">
      <c r="B78" s="377">
        <v>42580</v>
      </c>
      <c r="C78" s="378">
        <v>30</v>
      </c>
      <c r="D78" s="379">
        <v>73.937700000000007</v>
      </c>
      <c r="E78" s="379">
        <v>87.72</v>
      </c>
      <c r="F78" s="379">
        <f t="shared" si="28"/>
        <v>413.46899999999977</v>
      </c>
      <c r="G78" s="379">
        <f t="shared" si="29"/>
        <v>2218.1310000000003</v>
      </c>
      <c r="H78" s="380">
        <f t="shared" si="30"/>
        <v>0.18640422950673324</v>
      </c>
      <c r="I78" s="380"/>
    </row>
    <row r="79" spans="2:31" x14ac:dyDescent="0.25">
      <c r="B79" s="377">
        <v>42580</v>
      </c>
      <c r="C79" s="378">
        <v>0</v>
      </c>
      <c r="D79" s="379"/>
      <c r="E79" s="379"/>
      <c r="F79" s="379">
        <v>420.99</v>
      </c>
      <c r="G79" s="379"/>
      <c r="H79" s="380"/>
      <c r="I79" s="380"/>
    </row>
    <row r="80" spans="2:31" x14ac:dyDescent="0.25">
      <c r="B80" s="378"/>
      <c r="C80" s="378"/>
      <c r="D80" s="379"/>
      <c r="E80" s="379"/>
      <c r="F80" s="379"/>
      <c r="G80" s="378"/>
      <c r="H80" s="378"/>
      <c r="I80" s="378"/>
    </row>
    <row r="81" spans="2:9" x14ac:dyDescent="0.25">
      <c r="B81" s="511" t="s">
        <v>114</v>
      </c>
      <c r="C81" s="511" t="s">
        <v>147</v>
      </c>
      <c r="D81" s="512" t="s">
        <v>146</v>
      </c>
      <c r="E81" s="513" t="s">
        <v>148</v>
      </c>
      <c r="F81" s="514" t="s">
        <v>65</v>
      </c>
      <c r="G81" s="515" t="s">
        <v>152</v>
      </c>
      <c r="H81" s="514" t="s">
        <v>88</v>
      </c>
      <c r="I81" s="514" t="s">
        <v>155</v>
      </c>
    </row>
    <row r="82" spans="2:9" x14ac:dyDescent="0.25">
      <c r="B82" s="377">
        <v>42608</v>
      </c>
      <c r="C82" s="378">
        <v>25</v>
      </c>
      <c r="D82" s="379">
        <v>78.95</v>
      </c>
      <c r="E82" s="379">
        <v>80.650000000000006</v>
      </c>
      <c r="F82" s="379">
        <f t="shared" ref="F82:F98" si="31">C82*(E82-D82)</f>
        <v>42.500000000000071</v>
      </c>
      <c r="G82" s="379">
        <f t="shared" ref="G82:G98" si="32">D82*C82</f>
        <v>1973.75</v>
      </c>
      <c r="H82" s="380">
        <f t="shared" ref="H82:H98" si="33">(E82-D82)/D82</f>
        <v>2.1532615579480718E-2</v>
      </c>
      <c r="I82" s="380"/>
    </row>
    <row r="83" spans="2:9" x14ac:dyDescent="0.25">
      <c r="B83" s="377">
        <v>42609</v>
      </c>
      <c r="C83" s="378">
        <v>25</v>
      </c>
      <c r="D83" s="379">
        <v>78.95</v>
      </c>
      <c r="E83" s="379">
        <v>80.180000000000007</v>
      </c>
      <c r="F83" s="379">
        <f t="shared" si="31"/>
        <v>30.750000000000099</v>
      </c>
      <c r="G83" s="379">
        <f t="shared" si="32"/>
        <v>1973.75</v>
      </c>
      <c r="H83" s="380">
        <f t="shared" si="33"/>
        <v>1.5579480683977251E-2</v>
      </c>
      <c r="I83" s="380"/>
    </row>
    <row r="84" spans="2:9" x14ac:dyDescent="0.25">
      <c r="B84" s="377">
        <v>42613</v>
      </c>
      <c r="C84" s="378">
        <v>25</v>
      </c>
      <c r="D84" s="379">
        <v>78.95</v>
      </c>
      <c r="E84" s="379">
        <v>81.98</v>
      </c>
      <c r="F84" s="379">
        <f t="shared" si="31"/>
        <v>75.750000000000028</v>
      </c>
      <c r="G84" s="379">
        <f t="shared" si="32"/>
        <v>1973.75</v>
      </c>
      <c r="H84" s="380">
        <f t="shared" si="33"/>
        <v>3.8378720709309699E-2</v>
      </c>
      <c r="I84" s="380"/>
    </row>
    <row r="85" spans="2:9" x14ac:dyDescent="0.25">
      <c r="B85" s="377">
        <v>42619</v>
      </c>
      <c r="C85" s="378">
        <v>25</v>
      </c>
      <c r="D85" s="379">
        <v>78.95</v>
      </c>
      <c r="E85" s="379">
        <v>81.099999999999994</v>
      </c>
      <c r="F85" s="379">
        <f t="shared" si="31"/>
        <v>53.749999999999787</v>
      </c>
      <c r="G85" s="379">
        <f t="shared" si="32"/>
        <v>1973.75</v>
      </c>
      <c r="H85" s="380">
        <f t="shared" si="33"/>
        <v>2.7232425585813697E-2</v>
      </c>
      <c r="I85" s="380"/>
    </row>
    <row r="86" spans="2:9" x14ac:dyDescent="0.25">
      <c r="B86" s="377">
        <v>42620</v>
      </c>
      <c r="C86" s="378">
        <v>25</v>
      </c>
      <c r="D86" s="379">
        <v>78.95</v>
      </c>
      <c r="E86" s="379">
        <v>82.48</v>
      </c>
      <c r="F86" s="379">
        <f t="shared" si="31"/>
        <v>88.250000000000028</v>
      </c>
      <c r="G86" s="379">
        <f t="shared" si="32"/>
        <v>1973.75</v>
      </c>
      <c r="H86" s="380">
        <f t="shared" si="33"/>
        <v>4.4711842938568724E-2</v>
      </c>
      <c r="I86" s="380"/>
    </row>
    <row r="87" spans="2:9" x14ac:dyDescent="0.25">
      <c r="B87" s="377">
        <v>42621</v>
      </c>
      <c r="C87" s="378">
        <v>25</v>
      </c>
      <c r="D87" s="379">
        <v>78.95</v>
      </c>
      <c r="E87" s="379">
        <v>81.77</v>
      </c>
      <c r="F87" s="379">
        <f t="shared" si="31"/>
        <v>70.499999999999829</v>
      </c>
      <c r="G87" s="379">
        <f t="shared" si="32"/>
        <v>1973.75</v>
      </c>
      <c r="H87" s="380">
        <f t="shared" si="33"/>
        <v>3.5718809373020813E-2</v>
      </c>
      <c r="I87" s="380"/>
    </row>
    <row r="88" spans="2:9" x14ac:dyDescent="0.25">
      <c r="B88" s="377">
        <v>42622</v>
      </c>
      <c r="C88" s="378">
        <v>25</v>
      </c>
      <c r="D88" s="379">
        <v>78.95</v>
      </c>
      <c r="E88" s="379">
        <v>76.900000000000006</v>
      </c>
      <c r="F88" s="379">
        <f t="shared" si="31"/>
        <v>-51.249999999999929</v>
      </c>
      <c r="G88" s="379">
        <f t="shared" si="32"/>
        <v>1973.75</v>
      </c>
      <c r="H88" s="380">
        <f t="shared" si="33"/>
        <v>-2.5965801139961966E-2</v>
      </c>
      <c r="I88" s="380"/>
    </row>
    <row r="89" spans="2:9" x14ac:dyDescent="0.25">
      <c r="B89" s="377">
        <v>42629</v>
      </c>
      <c r="C89" s="378">
        <v>25</v>
      </c>
      <c r="D89" s="379">
        <v>78.95</v>
      </c>
      <c r="E89" s="379">
        <v>77.77</v>
      </c>
      <c r="F89" s="379">
        <f t="shared" si="31"/>
        <v>-29.500000000000171</v>
      </c>
      <c r="G89" s="379">
        <f t="shared" si="32"/>
        <v>1973.75</v>
      </c>
      <c r="H89" s="380">
        <f t="shared" si="33"/>
        <v>-1.4946168461051384E-2</v>
      </c>
      <c r="I89" s="380"/>
    </row>
    <row r="90" spans="2:9" x14ac:dyDescent="0.25">
      <c r="B90" s="377">
        <v>42633</v>
      </c>
      <c r="C90" s="378">
        <v>25</v>
      </c>
      <c r="D90" s="379">
        <v>78.95</v>
      </c>
      <c r="E90" s="379">
        <v>75.52</v>
      </c>
      <c r="F90" s="379">
        <f t="shared" si="31"/>
        <v>-85.750000000000171</v>
      </c>
      <c r="G90" s="379">
        <f t="shared" si="32"/>
        <v>1973.75</v>
      </c>
      <c r="H90" s="380">
        <f t="shared" si="33"/>
        <v>-4.3445218492716993E-2</v>
      </c>
      <c r="I90" s="380"/>
    </row>
    <row r="91" spans="2:9" x14ac:dyDescent="0.25">
      <c r="B91" s="377">
        <v>42635</v>
      </c>
      <c r="C91" s="378">
        <v>25</v>
      </c>
      <c r="D91" s="379">
        <v>78.95</v>
      </c>
      <c r="E91" s="379">
        <v>77.27</v>
      </c>
      <c r="F91" s="379">
        <f t="shared" si="31"/>
        <v>-42.000000000000171</v>
      </c>
      <c r="G91" s="379">
        <f t="shared" si="32"/>
        <v>1973.75</v>
      </c>
      <c r="H91" s="380">
        <f t="shared" si="33"/>
        <v>-2.1279290690310409E-2</v>
      </c>
      <c r="I91" s="380"/>
    </row>
    <row r="92" spans="2:9" x14ac:dyDescent="0.25">
      <c r="B92" s="377">
        <v>42636</v>
      </c>
      <c r="C92" s="378">
        <v>25</v>
      </c>
      <c r="D92" s="379">
        <v>78.95</v>
      </c>
      <c r="E92" s="379">
        <v>78.97</v>
      </c>
      <c r="F92" s="379">
        <f t="shared" si="31"/>
        <v>0.49999999999990052</v>
      </c>
      <c r="G92" s="379">
        <f t="shared" si="32"/>
        <v>1973.75</v>
      </c>
      <c r="H92" s="380">
        <f t="shared" si="33"/>
        <v>2.533248891703106E-4</v>
      </c>
      <c r="I92" s="380"/>
    </row>
    <row r="93" spans="2:9" x14ac:dyDescent="0.25">
      <c r="B93" s="377">
        <v>42639</v>
      </c>
      <c r="C93" s="378">
        <v>55</v>
      </c>
      <c r="D93" s="379">
        <v>76.400000000000006</v>
      </c>
      <c r="E93" s="379">
        <v>76.31</v>
      </c>
      <c r="F93" s="379">
        <f t="shared" si="31"/>
        <v>-4.9500000000001876</v>
      </c>
      <c r="G93" s="379">
        <f t="shared" si="32"/>
        <v>4202</v>
      </c>
      <c r="H93" s="380">
        <f t="shared" si="33"/>
        <v>-1.1780104712042331E-3</v>
      </c>
      <c r="I93" s="380"/>
    </row>
    <row r="94" spans="2:9" x14ac:dyDescent="0.25">
      <c r="B94" s="377">
        <v>42643</v>
      </c>
      <c r="C94" s="378">
        <v>55</v>
      </c>
      <c r="D94" s="379">
        <v>76.402699999999996</v>
      </c>
      <c r="E94" s="379">
        <v>74.53</v>
      </c>
      <c r="F94" s="379">
        <f t="shared" si="31"/>
        <v>-102.99849999999971</v>
      </c>
      <c r="G94" s="379">
        <f t="shared" si="32"/>
        <v>4202.1484999999993</v>
      </c>
      <c r="H94" s="380">
        <f t="shared" si="33"/>
        <v>-2.4510913881315644E-2</v>
      </c>
      <c r="I94" s="380"/>
    </row>
    <row r="95" spans="2:9" x14ac:dyDescent="0.25">
      <c r="B95" s="377">
        <v>42646</v>
      </c>
      <c r="C95" s="378">
        <v>55</v>
      </c>
      <c r="D95" s="379">
        <v>76.402699999999996</v>
      </c>
      <c r="E95" s="379">
        <v>75.72</v>
      </c>
      <c r="F95" s="379">
        <f t="shared" si="31"/>
        <v>-37.548499999999834</v>
      </c>
      <c r="G95" s="379">
        <f t="shared" si="32"/>
        <v>4202.1484999999993</v>
      </c>
      <c r="H95" s="380">
        <f t="shared" si="33"/>
        <v>-8.9355480892690572E-3</v>
      </c>
      <c r="I95" s="380"/>
    </row>
    <row r="96" spans="2:9" x14ac:dyDescent="0.25">
      <c r="B96" s="377">
        <v>42647</v>
      </c>
      <c r="C96" s="378">
        <v>55</v>
      </c>
      <c r="D96" s="379">
        <v>76.402699999999996</v>
      </c>
      <c r="E96" s="379">
        <v>77.819999999999993</v>
      </c>
      <c r="F96" s="379">
        <f t="shared" si="31"/>
        <v>77.951499999999854</v>
      </c>
      <c r="G96" s="379">
        <f t="shared" si="32"/>
        <v>4202.1484999999993</v>
      </c>
      <c r="H96" s="380">
        <f t="shared" si="33"/>
        <v>1.8550391543754308E-2</v>
      </c>
      <c r="I96" s="380"/>
    </row>
    <row r="97" spans="1:13" x14ac:dyDescent="0.25">
      <c r="B97" s="377">
        <v>42648</v>
      </c>
      <c r="C97" s="378">
        <v>30</v>
      </c>
      <c r="D97" s="379">
        <v>74.272999999999996</v>
      </c>
      <c r="E97" s="379">
        <v>81.430000000000007</v>
      </c>
      <c r="F97" s="379">
        <f t="shared" si="31"/>
        <v>214.71000000000032</v>
      </c>
      <c r="G97" s="379">
        <f t="shared" si="32"/>
        <v>2228.19</v>
      </c>
      <c r="H97" s="380">
        <f t="shared" si="33"/>
        <v>9.6360723277638047E-2</v>
      </c>
      <c r="I97" s="380"/>
    </row>
    <row r="98" spans="1:13" x14ac:dyDescent="0.25">
      <c r="B98" s="377">
        <v>42649</v>
      </c>
      <c r="C98" s="378">
        <v>30</v>
      </c>
      <c r="D98" s="379">
        <v>74.272999999999996</v>
      </c>
      <c r="E98" s="379">
        <v>80.069999999999993</v>
      </c>
      <c r="F98" s="379">
        <f t="shared" si="31"/>
        <v>173.90999999999991</v>
      </c>
      <c r="G98" s="379">
        <f t="shared" si="32"/>
        <v>2228.19</v>
      </c>
      <c r="H98" s="380">
        <f t="shared" si="33"/>
        <v>7.8049897001602156E-2</v>
      </c>
      <c r="I98" s="380"/>
    </row>
    <row r="99" spans="1:13" x14ac:dyDescent="0.25">
      <c r="B99" s="377">
        <v>42671</v>
      </c>
      <c r="C99" s="378">
        <v>0</v>
      </c>
      <c r="D99" s="379"/>
      <c r="E99" s="379"/>
      <c r="F99" s="379">
        <v>234.16</v>
      </c>
      <c r="G99" s="379"/>
      <c r="H99" s="380"/>
      <c r="I99" s="380"/>
    </row>
    <row r="100" spans="1:13" x14ac:dyDescent="0.25">
      <c r="B100" s="377"/>
      <c r="C100" s="378"/>
      <c r="D100" s="379"/>
      <c r="E100" s="379"/>
      <c r="F100" s="379"/>
      <c r="G100" s="379"/>
      <c r="H100" s="380"/>
      <c r="I100" s="380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2" t="s">
        <v>1</v>
      </c>
      <c r="B102" s="262" t="s">
        <v>2</v>
      </c>
      <c r="C102" s="262" t="s">
        <v>4</v>
      </c>
      <c r="D102" s="263" t="s">
        <v>5</v>
      </c>
      <c r="E102" s="263" t="s">
        <v>94</v>
      </c>
      <c r="F102" s="263" t="s">
        <v>60</v>
      </c>
      <c r="G102" s="262" t="s">
        <v>3</v>
      </c>
      <c r="H102" s="262" t="s">
        <v>6</v>
      </c>
      <c r="I102" s="262" t="s">
        <v>7</v>
      </c>
      <c r="J102" s="262" t="s">
        <v>95</v>
      </c>
      <c r="K102" s="263" t="s">
        <v>61</v>
      </c>
      <c r="L102" s="262" t="s">
        <v>77</v>
      </c>
      <c r="M102" s="262" t="s">
        <v>38</v>
      </c>
    </row>
    <row r="103" spans="1:13" x14ac:dyDescent="0.25">
      <c r="A103" s="264" t="s">
        <v>218</v>
      </c>
      <c r="B103" s="265">
        <v>42516</v>
      </c>
      <c r="C103" s="260">
        <v>20</v>
      </c>
      <c r="D103" s="261">
        <v>96.2</v>
      </c>
      <c r="E103" s="261">
        <v>0</v>
      </c>
      <c r="F103" s="261">
        <f t="shared" ref="F103:F108" si="34">C103*D103 + E103</f>
        <v>1924</v>
      </c>
      <c r="G103" s="265">
        <v>42516</v>
      </c>
      <c r="H103" s="260">
        <v>20</v>
      </c>
      <c r="I103" s="261">
        <v>88.99</v>
      </c>
      <c r="J103" s="261">
        <v>0.04</v>
      </c>
      <c r="K103" s="261">
        <f t="shared" ref="K103:K108" si="35">H103*I103 - J103</f>
        <v>1779.76</v>
      </c>
      <c r="L103" s="265">
        <v>42608</v>
      </c>
      <c r="M103" s="260">
        <v>13</v>
      </c>
    </row>
    <row r="104" spans="1:13" x14ac:dyDescent="0.25">
      <c r="A104" s="267" t="s">
        <v>71</v>
      </c>
      <c r="B104" s="460">
        <v>42527</v>
      </c>
      <c r="C104" s="260">
        <v>25</v>
      </c>
      <c r="D104" s="261">
        <v>85.59</v>
      </c>
      <c r="E104" s="261">
        <v>0</v>
      </c>
      <c r="F104" s="261">
        <f t="shared" si="34"/>
        <v>2139.75</v>
      </c>
      <c r="G104" s="265">
        <v>42541</v>
      </c>
      <c r="H104" s="266">
        <v>25</v>
      </c>
      <c r="I104" s="261">
        <v>86.59</v>
      </c>
      <c r="J104" s="261">
        <v>0.05</v>
      </c>
      <c r="K104" s="261">
        <f t="shared" si="35"/>
        <v>2164.6999999999998</v>
      </c>
      <c r="L104" s="265">
        <v>42702</v>
      </c>
      <c r="M104" s="260">
        <v>7.8</v>
      </c>
    </row>
    <row r="105" spans="1:13" x14ac:dyDescent="0.25">
      <c r="A105" s="260"/>
      <c r="B105" s="460">
        <v>42535</v>
      </c>
      <c r="C105" s="260">
        <v>20</v>
      </c>
      <c r="D105" s="261">
        <v>82.75</v>
      </c>
      <c r="E105" s="261">
        <v>0</v>
      </c>
      <c r="F105" s="261">
        <f t="shared" si="34"/>
        <v>1655</v>
      </c>
      <c r="G105" s="265">
        <v>42552</v>
      </c>
      <c r="H105" s="266">
        <v>20</v>
      </c>
      <c r="I105" s="261">
        <v>83.98</v>
      </c>
      <c r="J105" s="261">
        <v>0.04</v>
      </c>
      <c r="K105" s="261">
        <f t="shared" si="35"/>
        <v>1679.5600000000002</v>
      </c>
      <c r="L105" s="260"/>
      <c r="M105" s="260"/>
    </row>
    <row r="106" spans="1:13" x14ac:dyDescent="0.25">
      <c r="A106" s="260"/>
      <c r="B106" s="265">
        <v>42535</v>
      </c>
      <c r="C106" s="260">
        <v>5</v>
      </c>
      <c r="D106" s="261">
        <v>82.75</v>
      </c>
      <c r="E106" s="261">
        <v>0</v>
      </c>
      <c r="F106" s="261">
        <f t="shared" si="34"/>
        <v>413.75</v>
      </c>
      <c r="G106" s="265">
        <v>42569</v>
      </c>
      <c r="H106" s="266">
        <v>5</v>
      </c>
      <c r="I106" s="261">
        <v>92</v>
      </c>
      <c r="J106" s="261">
        <v>0.01</v>
      </c>
      <c r="K106" s="261">
        <f t="shared" si="35"/>
        <v>459.99</v>
      </c>
      <c r="L106" s="260"/>
      <c r="M106" s="260"/>
    </row>
    <row r="107" spans="1:13" x14ac:dyDescent="0.25">
      <c r="A107" s="260"/>
      <c r="B107" s="265">
        <v>42548</v>
      </c>
      <c r="C107" s="260">
        <v>20</v>
      </c>
      <c r="D107" s="261">
        <v>78.48</v>
      </c>
      <c r="E107" s="261">
        <v>0</v>
      </c>
      <c r="F107" s="261">
        <f t="shared" si="34"/>
        <v>1569.6000000000001</v>
      </c>
      <c r="G107" s="265">
        <v>42580</v>
      </c>
      <c r="H107" s="266">
        <v>20</v>
      </c>
      <c r="I107" s="261">
        <v>87.72</v>
      </c>
      <c r="J107" s="261">
        <v>0.04</v>
      </c>
      <c r="K107" s="261">
        <f t="shared" si="35"/>
        <v>1754.3600000000001</v>
      </c>
      <c r="L107" s="260"/>
      <c r="M107" s="260"/>
    </row>
    <row r="108" spans="1:13" x14ac:dyDescent="0.25">
      <c r="A108" s="260"/>
      <c r="B108" s="265">
        <v>42548</v>
      </c>
      <c r="C108" s="260">
        <v>30</v>
      </c>
      <c r="D108" s="261">
        <v>78.48</v>
      </c>
      <c r="E108" s="261">
        <v>0</v>
      </c>
      <c r="F108" s="261">
        <f t="shared" si="34"/>
        <v>2354.4</v>
      </c>
      <c r="G108" s="265">
        <v>42580</v>
      </c>
      <c r="H108" s="266">
        <v>30</v>
      </c>
      <c r="I108" s="261">
        <v>87.97</v>
      </c>
      <c r="J108" s="261">
        <v>-0.02</v>
      </c>
      <c r="K108" s="261">
        <f t="shared" si="35"/>
        <v>2639.12</v>
      </c>
      <c r="L108" s="260"/>
      <c r="M108" s="260"/>
    </row>
    <row r="109" spans="1:13" x14ac:dyDescent="0.25">
      <c r="A109" s="260"/>
      <c r="B109" s="265">
        <v>42608</v>
      </c>
      <c r="C109" s="260">
        <v>25</v>
      </c>
      <c r="D109" s="261">
        <v>78.95</v>
      </c>
      <c r="E109" s="261">
        <v>0</v>
      </c>
      <c r="F109" s="261">
        <v>1973.75</v>
      </c>
      <c r="G109" s="265">
        <v>42648</v>
      </c>
      <c r="H109" s="266">
        <v>25</v>
      </c>
      <c r="I109" s="261">
        <v>78.959999999999994</v>
      </c>
      <c r="J109" s="261">
        <v>0.04</v>
      </c>
      <c r="K109" s="261">
        <v>1973.9599999999998</v>
      </c>
      <c r="L109" s="260"/>
      <c r="M109" s="260"/>
    </row>
    <row r="110" spans="1:13" x14ac:dyDescent="0.25">
      <c r="A110" s="260"/>
      <c r="B110" s="265">
        <v>42640</v>
      </c>
      <c r="C110" s="260">
        <v>30</v>
      </c>
      <c r="D110" s="261">
        <v>74.28</v>
      </c>
      <c r="E110" s="261">
        <v>0</v>
      </c>
      <c r="F110" s="261">
        <v>2228.4</v>
      </c>
      <c r="G110" s="265">
        <v>42671</v>
      </c>
      <c r="H110" s="266">
        <v>30</v>
      </c>
      <c r="I110" s="261">
        <v>82.08</v>
      </c>
      <c r="J110" s="261">
        <v>0.05</v>
      </c>
      <c r="K110" s="261">
        <v>2462.35</v>
      </c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5"/>
      <c r="H111" s="266"/>
      <c r="I111" s="260"/>
      <c r="J111" s="260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5"/>
      <c r="H112" s="266"/>
      <c r="I112" s="260"/>
      <c r="J112" s="260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5"/>
      <c r="H113" s="266"/>
      <c r="I113" s="260"/>
      <c r="J113" s="260"/>
      <c r="K113" s="261"/>
      <c r="L113" s="260"/>
      <c r="M113" s="260"/>
    </row>
    <row r="114" spans="1:13" x14ac:dyDescent="0.25">
      <c r="A114" s="260"/>
      <c r="B114" s="265"/>
      <c r="C114" s="260"/>
      <c r="D114" s="261"/>
      <c r="E114" s="261"/>
      <c r="F114" s="261"/>
      <c r="G114" s="265"/>
      <c r="H114" s="266"/>
      <c r="I114" s="261"/>
      <c r="J114" s="260"/>
      <c r="K114" s="261"/>
      <c r="L114" s="260"/>
      <c r="M114" s="260"/>
    </row>
    <row r="115" spans="1:13" x14ac:dyDescent="0.25">
      <c r="A115" s="260"/>
      <c r="B115" s="265"/>
      <c r="C115" s="260"/>
      <c r="D115" s="261"/>
      <c r="E115" s="261"/>
      <c r="F115" s="261"/>
      <c r="G115" s="265"/>
      <c r="H115" s="266"/>
      <c r="I115" s="260"/>
      <c r="J115" s="260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5"/>
      <c r="H116" s="266"/>
      <c r="I116" s="260"/>
      <c r="J116" s="260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5"/>
      <c r="H117" s="266"/>
      <c r="I117" s="260"/>
      <c r="J117" s="260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5"/>
      <c r="H118" s="266"/>
      <c r="I118" s="260"/>
      <c r="J118" s="260"/>
      <c r="K118" s="261"/>
      <c r="L118" s="260"/>
      <c r="M118" s="260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2" t="s">
        <v>197</v>
      </c>
      <c r="B120" s="463"/>
      <c r="C120" s="464">
        <f>SumByColor($A$19,C103:C118)</f>
        <v>0</v>
      </c>
      <c r="D120" s="464"/>
      <c r="E120" s="464"/>
      <c r="F120" s="465">
        <f>SumByColor($A$19,F103:F118)</f>
        <v>0</v>
      </c>
      <c r="G120" s="464"/>
      <c r="H120" s="464">
        <f>SumByColor($A$19,H103:H118)</f>
        <v>0</v>
      </c>
      <c r="I120" s="464"/>
      <c r="J120" s="464"/>
      <c r="K120" s="465">
        <f>SumByColor($A$19,K103:K118)</f>
        <v>0</v>
      </c>
      <c r="L120" s="464"/>
      <c r="M120" s="465">
        <f>SumByColor($A$19,M103:M118)</f>
        <v>0</v>
      </c>
    </row>
  </sheetData>
  <mergeCells count="1">
    <mergeCell ref="O42:P42"/>
  </mergeCells>
  <conditionalFormatting sqref="N19">
    <cfRule type="expression" dxfId="1139" priority="33">
      <formula>N19&gt;0</formula>
    </cfRule>
    <cfRule type="expression" dxfId="1138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137" priority="27">
      <formula>F61&gt;0</formula>
    </cfRule>
    <cfRule type="expression" dxfId="1136" priority="28">
      <formula>F61&lt;0</formula>
    </cfRule>
  </conditionalFormatting>
  <conditionalFormatting sqref="H61:H79 H83:H100">
    <cfRule type="expression" dxfId="1135" priority="25">
      <formula>H61&gt;0</formula>
    </cfRule>
    <cfRule type="expression" dxfId="1134" priority="26">
      <formula>H61&lt;0</formula>
    </cfRule>
  </conditionalFormatting>
  <conditionalFormatting sqref="I57:I79 I82:I100">
    <cfRule type="expression" dxfId="1133" priority="23">
      <formula>I57&gt;0</formula>
    </cfRule>
    <cfRule type="expression" dxfId="1132" priority="24">
      <formula>I57&lt;0</formula>
    </cfRule>
  </conditionalFormatting>
  <conditionalFormatting sqref="Q7">
    <cfRule type="expression" dxfId="1131" priority="21">
      <formula>Q7&gt;0</formula>
    </cfRule>
    <cfRule type="expression" dxfId="1130" priority="22">
      <formula>Q7&lt;0</formula>
    </cfRule>
  </conditionalFormatting>
  <conditionalFormatting sqref="Q8">
    <cfRule type="expression" dxfId="1129" priority="19">
      <formula>Q8&gt;0</formula>
    </cfRule>
    <cfRule type="expression" dxfId="1128" priority="20">
      <formula>Q8&lt;0</formula>
    </cfRule>
  </conditionalFormatting>
  <conditionalFormatting sqref="F57:F60">
    <cfRule type="expression" dxfId="1127" priority="17">
      <formula>F57&gt;0</formula>
    </cfRule>
    <cfRule type="expression" dxfId="1126" priority="18">
      <formula>F57&lt;0</formula>
    </cfRule>
  </conditionalFormatting>
  <conditionalFormatting sqref="H57:H60">
    <cfRule type="expression" dxfId="1125" priority="15">
      <formula>H57&gt;0</formula>
    </cfRule>
    <cfRule type="expression" dxfId="1124" priority="16">
      <formula>H57&lt;0</formula>
    </cfRule>
  </conditionalFormatting>
  <conditionalFormatting sqref="F82:F96">
    <cfRule type="expression" dxfId="1123" priority="9">
      <formula>F82&gt;0</formula>
    </cfRule>
    <cfRule type="expression" dxfId="1122" priority="10">
      <formula>F82&lt;0</formula>
    </cfRule>
  </conditionalFormatting>
  <conditionalFormatting sqref="H82:H96">
    <cfRule type="expression" dxfId="1121" priority="7">
      <formula>H82&gt;0</formula>
    </cfRule>
    <cfRule type="expression" dxfId="1120" priority="8">
      <formula>H82&lt;0</formula>
    </cfRule>
  </conditionalFormatting>
  <conditionalFormatting sqref="F25:F38">
    <cfRule type="expression" dxfId="1119" priority="5">
      <formula>F25&gt;0</formula>
    </cfRule>
    <cfRule type="expression" dxfId="1118" priority="6">
      <formula>F25&lt;0</formula>
    </cfRule>
  </conditionalFormatting>
  <conditionalFormatting sqref="H25:H38">
    <cfRule type="expression" dxfId="1117" priority="3">
      <formula>H25&gt;0</formula>
    </cfRule>
    <cfRule type="expression" dxfId="1116" priority="4">
      <formula>H25&lt;0</formula>
    </cfRule>
  </conditionalFormatting>
  <conditionalFormatting sqref="J38">
    <cfRule type="expression" dxfId="1115" priority="1">
      <formula>J38&gt;0</formula>
    </cfRule>
    <cfRule type="expression" dxfId="1114" priority="2">
      <formula>J38&lt;0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42797</v>
      </c>
      <c r="X2" s="10">
        <v>138.78</v>
      </c>
      <c r="Y2" s="10">
        <v>139.83000000000001</v>
      </c>
      <c r="Z2" s="10">
        <v>138.59</v>
      </c>
      <c r="AA2" s="10">
        <v>139.78</v>
      </c>
      <c r="AB2" s="94">
        <v>21108100</v>
      </c>
      <c r="AC2" s="10">
        <v>139.78</v>
      </c>
      <c r="AD2" s="2">
        <f>Y2-Z2</f>
        <v>1.2400000000000091</v>
      </c>
      <c r="AE2" s="137">
        <f>AC2/AC3-1</f>
        <v>5.9009786989061563E-3</v>
      </c>
    </row>
    <row r="3" spans="1:40" x14ac:dyDescent="0.25">
      <c r="A3" s="23" t="s">
        <v>71</v>
      </c>
      <c r="B3" s="36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139.13999999999999</v>
      </c>
      <c r="W3" s="132">
        <v>42796</v>
      </c>
      <c r="X3" s="10">
        <v>140</v>
      </c>
      <c r="Y3" s="10">
        <v>140.28</v>
      </c>
      <c r="Z3" s="10">
        <v>138.76</v>
      </c>
      <c r="AA3" s="10">
        <v>138.96</v>
      </c>
      <c r="AB3" s="94">
        <v>26153300</v>
      </c>
      <c r="AC3" s="10">
        <v>138.96</v>
      </c>
      <c r="AD3" s="2">
        <f t="shared" ref="AD3:AD66" si="0">Y3-Z3</f>
        <v>1.5200000000000102</v>
      </c>
      <c r="AE3" s="137">
        <f t="shared" ref="AE3:AE66" si="1">AC3/AC4-1</f>
        <v>-5.9374776450388245E-3</v>
      </c>
      <c r="AG3" s="1"/>
      <c r="AK3" s="233"/>
      <c r="AN3" s="233"/>
    </row>
    <row r="4" spans="1:40" x14ac:dyDescent="0.25">
      <c r="B4" s="36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139.13999999999999</v>
      </c>
      <c r="R4" s="517">
        <v>3.3E-3</v>
      </c>
      <c r="T4" s="1"/>
      <c r="W4" s="132">
        <v>42795</v>
      </c>
      <c r="X4" s="10">
        <v>137.88999999999999</v>
      </c>
      <c r="Y4" s="10">
        <v>140.15</v>
      </c>
      <c r="Z4" s="10">
        <v>137.6</v>
      </c>
      <c r="AA4" s="10">
        <v>139.79</v>
      </c>
      <c r="AB4" s="94">
        <v>36272400</v>
      </c>
      <c r="AC4" s="10">
        <v>139.79</v>
      </c>
      <c r="AD4" s="2">
        <f t="shared" si="0"/>
        <v>2.5500000000000114</v>
      </c>
      <c r="AE4" s="137">
        <f t="shared" si="1"/>
        <v>2.0439448134900173E-2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42794</v>
      </c>
      <c r="X5" s="10">
        <v>137.08000000000001</v>
      </c>
      <c r="Y5" s="10">
        <v>137.44</v>
      </c>
      <c r="Z5" s="10">
        <v>136.69999999999999</v>
      </c>
      <c r="AA5" s="10">
        <v>136.99</v>
      </c>
      <c r="AB5" s="94">
        <v>23403500</v>
      </c>
      <c r="AC5" s="10">
        <v>136.99</v>
      </c>
      <c r="AD5" s="2">
        <f t="shared" si="0"/>
        <v>0.74000000000000909</v>
      </c>
      <c r="AE5" s="137">
        <f t="shared" si="1"/>
        <v>4.3818009201790353E-4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137.13999999999999</v>
      </c>
      <c r="Y6" s="10">
        <v>137.44</v>
      </c>
      <c r="Z6" s="10">
        <v>136.28</v>
      </c>
      <c r="AA6" s="10">
        <v>136.93</v>
      </c>
      <c r="AB6" s="94">
        <v>20196400</v>
      </c>
      <c r="AC6" s="10">
        <v>136.93</v>
      </c>
      <c r="AD6" s="2">
        <f t="shared" si="0"/>
        <v>1.1599999999999966</v>
      </c>
      <c r="AE6" s="137">
        <f t="shared" si="1"/>
        <v>1.9757061320064828E-3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42790</v>
      </c>
      <c r="X7" s="10">
        <v>135.91</v>
      </c>
      <c r="Y7" s="10">
        <v>136.66</v>
      </c>
      <c r="Z7" s="10">
        <v>135.28</v>
      </c>
      <c r="AA7" s="10">
        <v>136.66</v>
      </c>
      <c r="AB7" s="94">
        <v>21690900</v>
      </c>
      <c r="AC7" s="10">
        <v>136.66</v>
      </c>
      <c r="AD7" s="2">
        <f t="shared" si="0"/>
        <v>1.3799999999999955</v>
      </c>
      <c r="AE7" s="137">
        <f t="shared" si="1"/>
        <v>9.5217168387895512E-4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137.38</v>
      </c>
      <c r="Y8" s="10">
        <v>137.47999999999999</v>
      </c>
      <c r="Z8" s="10">
        <v>136.30000000000001</v>
      </c>
      <c r="AA8" s="10">
        <v>136.53</v>
      </c>
      <c r="AB8" s="94">
        <v>20704100</v>
      </c>
      <c r="AC8" s="10">
        <v>136.53</v>
      </c>
      <c r="AD8" s="2">
        <f t="shared" si="0"/>
        <v>1.1799999999999784</v>
      </c>
      <c r="AE8" s="137">
        <f t="shared" si="1"/>
        <v>-4.2301801473270118E-3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157"/>
      <c r="W9" s="132">
        <v>42788</v>
      </c>
      <c r="X9" s="10">
        <v>136.43</v>
      </c>
      <c r="Y9" s="10">
        <v>137.12</v>
      </c>
      <c r="Z9" s="10">
        <v>136.11000000000001</v>
      </c>
      <c r="AA9" s="10">
        <v>137.11000000000001</v>
      </c>
      <c r="AB9" s="94">
        <v>20745300</v>
      </c>
      <c r="AC9" s="10">
        <v>137.11000000000001</v>
      </c>
      <c r="AD9" s="2">
        <f t="shared" si="0"/>
        <v>1.0099999999999909</v>
      </c>
      <c r="AE9" s="137">
        <f t="shared" si="1"/>
        <v>2.9992684711048767E-3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42787</v>
      </c>
      <c r="X10" s="10">
        <v>136.22999999999999</v>
      </c>
      <c r="Y10" s="10">
        <v>136.75</v>
      </c>
      <c r="Z10" s="10">
        <v>135.97999999999999</v>
      </c>
      <c r="AA10" s="10">
        <v>136.69999999999999</v>
      </c>
      <c r="AB10" s="94">
        <v>24265100</v>
      </c>
      <c r="AC10" s="10">
        <v>136.69999999999999</v>
      </c>
      <c r="AD10" s="2">
        <f t="shared" si="0"/>
        <v>0.77000000000001023</v>
      </c>
      <c r="AE10" s="137">
        <f t="shared" si="1"/>
        <v>7.220748600058835E-3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1.6400000000000001E-2</v>
      </c>
      <c r="W11" s="132">
        <v>42783</v>
      </c>
      <c r="X11" s="10">
        <v>135.1</v>
      </c>
      <c r="Y11" s="10">
        <v>135.83000000000001</v>
      </c>
      <c r="Z11" s="10">
        <v>135.1</v>
      </c>
      <c r="AA11" s="10">
        <v>135.72</v>
      </c>
      <c r="AB11" s="94">
        <v>22084500</v>
      </c>
      <c r="AC11" s="10">
        <v>135.72</v>
      </c>
      <c r="AD11" s="2">
        <f t="shared" si="0"/>
        <v>0.73000000000001819</v>
      </c>
      <c r="AE11" s="137">
        <f t="shared" si="1"/>
        <v>2.7336534909494503E-3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42782</v>
      </c>
      <c r="X12" s="10">
        <v>135.66999999999999</v>
      </c>
      <c r="Y12" s="10">
        <v>135.9</v>
      </c>
      <c r="Z12" s="10">
        <v>134.84</v>
      </c>
      <c r="AA12" s="10">
        <v>135.35</v>
      </c>
      <c r="AB12" s="94">
        <v>22118000</v>
      </c>
      <c r="AC12" s="10">
        <v>135.35</v>
      </c>
      <c r="AD12" s="2">
        <f t="shared" si="0"/>
        <v>1.0600000000000023</v>
      </c>
      <c r="AE12" s="137">
        <f t="shared" si="1"/>
        <v>-1.1807246697660423E-3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42781</v>
      </c>
      <c r="X13" s="10">
        <v>135.52000000000001</v>
      </c>
      <c r="Y13" s="10">
        <v>136.27000000000001</v>
      </c>
      <c r="Z13" s="10">
        <v>134.62</v>
      </c>
      <c r="AA13" s="10">
        <v>135.51</v>
      </c>
      <c r="AB13" s="94">
        <v>35501600</v>
      </c>
      <c r="AC13" s="10">
        <v>135.51</v>
      </c>
      <c r="AD13" s="2">
        <f t="shared" si="0"/>
        <v>1.6500000000000057</v>
      </c>
      <c r="AE13" s="137">
        <f t="shared" si="1"/>
        <v>3.6290919863721793E-3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42780</v>
      </c>
      <c r="X14" s="10">
        <v>133.47</v>
      </c>
      <c r="Y14" s="10">
        <v>135.09</v>
      </c>
      <c r="Z14" s="10">
        <v>133.25</v>
      </c>
      <c r="AA14" s="10">
        <v>135.02000000000001</v>
      </c>
      <c r="AB14" s="94">
        <v>32815500</v>
      </c>
      <c r="AC14" s="10">
        <v>135.02000000000001</v>
      </c>
      <c r="AD14" s="2">
        <f t="shared" si="0"/>
        <v>1.8400000000000034</v>
      </c>
      <c r="AE14" s="137">
        <f t="shared" si="1"/>
        <v>1.2979218245930069E-2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42779</v>
      </c>
      <c r="X15" s="10">
        <v>133.08000000000001</v>
      </c>
      <c r="Y15" s="10">
        <v>133.82</v>
      </c>
      <c r="Z15" s="10">
        <v>132.75</v>
      </c>
      <c r="AA15" s="10">
        <v>133.29</v>
      </c>
      <c r="AB15" s="94">
        <v>23035400</v>
      </c>
      <c r="AC15" s="10">
        <v>133.29</v>
      </c>
      <c r="AD15" s="2">
        <f t="shared" si="0"/>
        <v>1.0699999999999932</v>
      </c>
      <c r="AE15" s="137">
        <f t="shared" si="1"/>
        <v>8.8555858310626068E-3</v>
      </c>
    </row>
    <row r="16" spans="1:40" x14ac:dyDescent="0.25">
      <c r="G16" s="1"/>
      <c r="H16" s="71"/>
      <c r="W16" s="132">
        <v>42776</v>
      </c>
      <c r="X16" s="10">
        <v>132.46</v>
      </c>
      <c r="Y16" s="10">
        <v>132.94</v>
      </c>
      <c r="Z16" s="10">
        <v>132.05000000000001</v>
      </c>
      <c r="AA16" s="10">
        <v>132.12</v>
      </c>
      <c r="AB16" s="94">
        <v>20065500</v>
      </c>
      <c r="AC16" s="10">
        <v>132.12</v>
      </c>
      <c r="AD16" s="2">
        <f t="shared" si="0"/>
        <v>0.88999999999998636</v>
      </c>
      <c r="AE16" s="137">
        <f t="shared" si="1"/>
        <v>-2.2655188038059881E-3</v>
      </c>
    </row>
    <row r="17" spans="1:31" x14ac:dyDescent="0.25">
      <c r="G17" s="1"/>
      <c r="H17" s="71"/>
      <c r="W17" s="132">
        <v>42775</v>
      </c>
      <c r="X17" s="10">
        <v>131.65</v>
      </c>
      <c r="Y17" s="10">
        <v>132.44999999999999</v>
      </c>
      <c r="Z17" s="10">
        <v>131.12</v>
      </c>
      <c r="AA17" s="10">
        <v>132.41999999999999</v>
      </c>
      <c r="AB17" s="94">
        <v>28349900</v>
      </c>
      <c r="AC17" s="10">
        <v>132.41999999999999</v>
      </c>
      <c r="AD17" s="2">
        <f t="shared" si="0"/>
        <v>1.3299999999999841</v>
      </c>
      <c r="AE17" s="137" t="e">
        <f t="shared" si="1"/>
        <v>#DIV/0!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42775</v>
      </c>
      <c r="X18" s="10" t="s">
        <v>209</v>
      </c>
      <c r="Y18" s="10"/>
      <c r="Z18" s="10"/>
      <c r="AA18" s="10"/>
      <c r="AB18" s="94"/>
      <c r="AC18" s="10"/>
      <c r="AD18" s="2">
        <f t="shared" si="0"/>
        <v>0</v>
      </c>
      <c r="AE18" s="137">
        <f t="shared" si="1"/>
        <v>-1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N19" s="2"/>
      <c r="W19" s="132">
        <v>42774</v>
      </c>
      <c r="X19" s="10">
        <v>131.35</v>
      </c>
      <c r="Y19" s="10">
        <v>132.22</v>
      </c>
      <c r="Z19" s="10">
        <v>131.22</v>
      </c>
      <c r="AA19" s="10">
        <v>132.04</v>
      </c>
      <c r="AB19" s="94">
        <v>23004100</v>
      </c>
      <c r="AC19" s="10">
        <v>131.47</v>
      </c>
      <c r="AD19" s="2">
        <f t="shared" si="0"/>
        <v>1</v>
      </c>
      <c r="AE19" s="137">
        <f t="shared" si="1"/>
        <v>3.894318875992564E-3</v>
      </c>
    </row>
    <row r="20" spans="1:31" x14ac:dyDescent="0.25">
      <c r="W20" s="132">
        <v>42773</v>
      </c>
      <c r="X20" s="10">
        <v>130.54</v>
      </c>
      <c r="Y20" s="10">
        <v>132.09</v>
      </c>
      <c r="Z20" s="10">
        <v>130.44999999999999</v>
      </c>
      <c r="AA20" s="10">
        <v>131.53</v>
      </c>
      <c r="AB20" s="94">
        <v>38183800</v>
      </c>
      <c r="AC20" s="10">
        <v>130.96</v>
      </c>
      <c r="AD20" s="2">
        <f t="shared" si="0"/>
        <v>1.6400000000000148</v>
      </c>
      <c r="AE20" s="137">
        <f t="shared" si="1"/>
        <v>9.481230247437189E-3</v>
      </c>
    </row>
    <row r="21" spans="1:31" x14ac:dyDescent="0.25">
      <c r="W21" s="132">
        <v>42772</v>
      </c>
      <c r="X21" s="10">
        <v>129.13</v>
      </c>
      <c r="Y21" s="10">
        <v>130.5</v>
      </c>
      <c r="Z21" s="10">
        <v>128.9</v>
      </c>
      <c r="AA21" s="10">
        <v>130.29</v>
      </c>
      <c r="AB21" s="94">
        <v>26845900</v>
      </c>
      <c r="AC21" s="10">
        <v>129.72999999999999</v>
      </c>
      <c r="AD21" s="2">
        <f t="shared" si="0"/>
        <v>1.5999999999999943</v>
      </c>
      <c r="AE21" s="137">
        <f t="shared" si="1"/>
        <v>9.414877061935778E-3</v>
      </c>
    </row>
    <row r="22" spans="1:31" x14ac:dyDescent="0.25">
      <c r="W22" s="132">
        <v>42769</v>
      </c>
      <c r="X22" s="10">
        <v>128.31</v>
      </c>
      <c r="Y22" s="10">
        <v>129.19</v>
      </c>
      <c r="Z22" s="10">
        <v>128.16</v>
      </c>
      <c r="AA22" s="10">
        <v>129.08000000000001</v>
      </c>
      <c r="AB22" s="94">
        <v>24507300</v>
      </c>
      <c r="AC22" s="10">
        <v>128.52000000000001</v>
      </c>
      <c r="AD22" s="2">
        <f t="shared" si="0"/>
        <v>1.0300000000000011</v>
      </c>
      <c r="AE22" s="137">
        <f t="shared" si="1"/>
        <v>4.2194092827003704E-3</v>
      </c>
    </row>
    <row r="23" spans="1:31" x14ac:dyDescent="0.25">
      <c r="W23" s="132">
        <v>42768</v>
      </c>
      <c r="X23" s="10">
        <v>127.98</v>
      </c>
      <c r="Y23" s="10">
        <v>129.38999999999999</v>
      </c>
      <c r="Z23" s="10">
        <v>127.78</v>
      </c>
      <c r="AA23" s="10">
        <v>128.53</v>
      </c>
      <c r="AB23" s="94">
        <v>33710400</v>
      </c>
      <c r="AC23" s="10">
        <v>127.98</v>
      </c>
      <c r="AD23" s="2">
        <f t="shared" si="0"/>
        <v>1.6099999999999852</v>
      </c>
      <c r="AE23" s="137">
        <f t="shared" si="1"/>
        <v>-1.6381933068101429E-3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194" t="s">
        <v>155</v>
      </c>
      <c r="W24" s="132">
        <v>42767</v>
      </c>
      <c r="X24" s="10">
        <v>127.03</v>
      </c>
      <c r="Y24" s="10">
        <v>130.49</v>
      </c>
      <c r="Z24" s="10">
        <v>127.01</v>
      </c>
      <c r="AA24" s="10">
        <v>128.75</v>
      </c>
      <c r="AB24" s="94">
        <v>111985000</v>
      </c>
      <c r="AC24" s="10">
        <v>128.19</v>
      </c>
      <c r="AD24" s="2">
        <f t="shared" si="0"/>
        <v>3.480000000000004</v>
      </c>
      <c r="AE24" s="137">
        <f t="shared" si="1"/>
        <v>6.0912025159314709E-2</v>
      </c>
    </row>
    <row r="25" spans="1:31" x14ac:dyDescent="0.25">
      <c r="B25" s="192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30">
        <f t="shared" ref="H25:H34" si="4">(E25-D25)/D25</f>
        <v>-1.238225799318918E-3</v>
      </c>
      <c r="I25" s="230"/>
      <c r="W25" s="132">
        <v>42766</v>
      </c>
      <c r="X25" s="10">
        <v>121.15</v>
      </c>
      <c r="Y25" s="10">
        <v>121.39</v>
      </c>
      <c r="Z25" s="10">
        <v>120.62</v>
      </c>
      <c r="AA25" s="10">
        <v>121.35</v>
      </c>
      <c r="AB25" s="94">
        <v>49201000</v>
      </c>
      <c r="AC25" s="10">
        <v>120.83</v>
      </c>
      <c r="AD25" s="2">
        <f t="shared" si="0"/>
        <v>0.76999999999999602</v>
      </c>
      <c r="AE25" s="137">
        <f t="shared" si="1"/>
        <v>-2.2295623451692448E-3</v>
      </c>
    </row>
    <row r="26" spans="1:31" x14ac:dyDescent="0.25">
      <c r="B26" s="192">
        <v>42506</v>
      </c>
      <c r="C26" s="236">
        <v>25</v>
      </c>
      <c r="D26" s="237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30">
        <f t="shared" si="4"/>
        <v>3.7898553929155768E-2</v>
      </c>
      <c r="I26" s="230"/>
      <c r="W26" s="132">
        <v>42765</v>
      </c>
      <c r="X26" s="10">
        <v>120.93</v>
      </c>
      <c r="Y26" s="10">
        <v>121.63</v>
      </c>
      <c r="Z26" s="10">
        <v>120.66</v>
      </c>
      <c r="AA26" s="10">
        <v>121.63</v>
      </c>
      <c r="AB26" s="94">
        <v>30377500</v>
      </c>
      <c r="AC26" s="10">
        <v>121.1</v>
      </c>
      <c r="AD26" s="2">
        <f t="shared" si="0"/>
        <v>0.96999999999999886</v>
      </c>
      <c r="AE26" s="137">
        <f t="shared" si="1"/>
        <v>-2.6354801515401372E-3</v>
      </c>
    </row>
    <row r="27" spans="1:31" x14ac:dyDescent="0.25">
      <c r="B27" s="192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30">
        <f t="shared" si="4"/>
        <v>0.10135762614425338</v>
      </c>
      <c r="I27" s="231" t="s">
        <v>217</v>
      </c>
      <c r="W27" s="132">
        <v>42762</v>
      </c>
      <c r="X27" s="10">
        <v>122.14</v>
      </c>
      <c r="Y27" s="10">
        <v>122.35</v>
      </c>
      <c r="Z27" s="10">
        <v>121.6</v>
      </c>
      <c r="AA27" s="10">
        <v>121.95</v>
      </c>
      <c r="AB27" s="94">
        <v>20562900</v>
      </c>
      <c r="AC27" s="10">
        <v>121.42</v>
      </c>
      <c r="AD27" s="2">
        <f t="shared" si="0"/>
        <v>0.75</v>
      </c>
      <c r="AE27" s="137">
        <f t="shared" si="1"/>
        <v>8.2365538258910576E-5</v>
      </c>
    </row>
    <row r="28" spans="1:31" x14ac:dyDescent="0.25">
      <c r="B28" s="192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30">
        <f t="shared" si="4"/>
        <v>8.1678680405076781E-2</v>
      </c>
      <c r="I28" s="40"/>
      <c r="W28" s="132">
        <v>42761</v>
      </c>
      <c r="X28" s="10">
        <v>121.67</v>
      </c>
      <c r="Y28" s="10">
        <v>122.44</v>
      </c>
      <c r="Z28" s="10">
        <v>121.6</v>
      </c>
      <c r="AA28" s="10">
        <v>121.94</v>
      </c>
      <c r="AB28" s="94">
        <v>26337600</v>
      </c>
      <c r="AC28" s="10">
        <v>121.41</v>
      </c>
      <c r="AD28" s="2">
        <f t="shared" si="0"/>
        <v>0.84000000000000341</v>
      </c>
      <c r="AE28" s="137">
        <f t="shared" si="1"/>
        <v>4.9443757725597948E-4</v>
      </c>
    </row>
    <row r="29" spans="1:31" x14ac:dyDescent="0.25">
      <c r="B29" s="192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30">
        <f t="shared" si="4"/>
        <v>5.3952459922609122E-2</v>
      </c>
      <c r="I29" s="40"/>
      <c r="W29" s="132">
        <v>42760</v>
      </c>
      <c r="X29" s="10">
        <v>120.42</v>
      </c>
      <c r="Y29" s="10">
        <v>122.1</v>
      </c>
      <c r="Z29" s="10">
        <v>120.28</v>
      </c>
      <c r="AA29" s="10">
        <v>121.88</v>
      </c>
      <c r="AB29" s="94">
        <v>32377600</v>
      </c>
      <c r="AC29" s="10">
        <v>121.35</v>
      </c>
      <c r="AD29" s="2">
        <f t="shared" si="0"/>
        <v>1.8199999999999932</v>
      </c>
      <c r="AE29" s="137">
        <f t="shared" si="1"/>
        <v>1.5906236919212891E-2</v>
      </c>
    </row>
    <row r="30" spans="1:31" x14ac:dyDescent="0.25">
      <c r="B30" s="192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30">
        <f t="shared" si="4"/>
        <v>6.2441958165656883E-2</v>
      </c>
      <c r="I30" s="40"/>
      <c r="W30" s="132">
        <v>42759</v>
      </c>
      <c r="X30" s="10">
        <v>119.55</v>
      </c>
      <c r="Y30" s="10">
        <v>120.1</v>
      </c>
      <c r="Z30" s="10">
        <v>119.5</v>
      </c>
      <c r="AA30" s="10">
        <v>119.97</v>
      </c>
      <c r="AB30" s="94">
        <v>23211000</v>
      </c>
      <c r="AC30" s="10">
        <v>119.45</v>
      </c>
      <c r="AD30" s="2">
        <f t="shared" si="0"/>
        <v>0.59999999999999432</v>
      </c>
      <c r="AE30" s="137">
        <f t="shared" si="1"/>
        <v>-9.2004014720636906E-4</v>
      </c>
    </row>
    <row r="31" spans="1:31" x14ac:dyDescent="0.25">
      <c r="B31" s="192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30">
        <f t="shared" si="4"/>
        <v>1.825000545101723E-2</v>
      </c>
      <c r="I31" s="40"/>
      <c r="W31" s="132">
        <v>42758</v>
      </c>
      <c r="X31" s="10">
        <v>120</v>
      </c>
      <c r="Y31" s="10">
        <v>120.81</v>
      </c>
      <c r="Z31" s="10">
        <v>119.77</v>
      </c>
      <c r="AA31" s="10">
        <v>120.08</v>
      </c>
      <c r="AB31" s="94">
        <v>22050200</v>
      </c>
      <c r="AC31" s="10">
        <v>119.56</v>
      </c>
      <c r="AD31" s="2">
        <f t="shared" si="0"/>
        <v>1.0400000000000063</v>
      </c>
      <c r="AE31" s="137">
        <f t="shared" si="1"/>
        <v>6.6956812855711867E-4</v>
      </c>
    </row>
    <row r="32" spans="1:31" x14ac:dyDescent="0.25">
      <c r="B32" s="192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30">
        <f t="shared" si="4"/>
        <v>3.4232387763557461E-3</v>
      </c>
      <c r="I32" s="40"/>
      <c r="W32" s="132">
        <v>42755</v>
      </c>
      <c r="X32" s="10">
        <v>120.45</v>
      </c>
      <c r="Y32" s="10">
        <v>120.45</v>
      </c>
      <c r="Z32" s="10">
        <v>119.73</v>
      </c>
      <c r="AA32" s="10">
        <v>120</v>
      </c>
      <c r="AB32" s="94">
        <v>32597900</v>
      </c>
      <c r="AC32" s="10">
        <v>119.48</v>
      </c>
      <c r="AD32" s="2">
        <f t="shared" si="0"/>
        <v>0.71999999999999886</v>
      </c>
      <c r="AE32" s="137">
        <f t="shared" si="1"/>
        <v>1.8447090390742993E-3</v>
      </c>
    </row>
    <row r="33" spans="2:31" x14ac:dyDescent="0.25">
      <c r="B33" s="192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30">
        <f t="shared" si="4"/>
        <v>2.0276899596642313E-2</v>
      </c>
      <c r="I33" s="40"/>
      <c r="W33" s="132">
        <v>42754</v>
      </c>
      <c r="X33" s="10">
        <v>119.4</v>
      </c>
      <c r="Y33" s="10">
        <v>120.09</v>
      </c>
      <c r="Z33" s="10">
        <v>119.37</v>
      </c>
      <c r="AA33" s="10">
        <v>119.78</v>
      </c>
      <c r="AB33" s="94">
        <v>25597300</v>
      </c>
      <c r="AC33" s="10">
        <v>119.26</v>
      </c>
      <c r="AD33" s="2">
        <f t="shared" si="0"/>
        <v>0.71999999999999886</v>
      </c>
      <c r="AE33" s="137">
        <f t="shared" si="1"/>
        <v>-1.7577634552606858E-3</v>
      </c>
    </row>
    <row r="34" spans="2:31" x14ac:dyDescent="0.25">
      <c r="B34" s="192">
        <v>42552</v>
      </c>
      <c r="C34" s="236">
        <v>25</v>
      </c>
      <c r="D34" s="237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30">
        <f t="shared" si="4"/>
        <v>9.9983940165645643E-2</v>
      </c>
      <c r="I34" s="40"/>
      <c r="W34" s="132">
        <v>42753</v>
      </c>
      <c r="X34" s="10">
        <v>120</v>
      </c>
      <c r="Y34" s="10">
        <v>120.5</v>
      </c>
      <c r="Z34" s="10">
        <v>119.71</v>
      </c>
      <c r="AA34" s="10">
        <v>119.99</v>
      </c>
      <c r="AB34" s="94">
        <v>23713000</v>
      </c>
      <c r="AC34" s="10">
        <v>119.47</v>
      </c>
      <c r="AD34" s="2">
        <f t="shared" si="0"/>
        <v>0.79000000000000625</v>
      </c>
      <c r="AE34" s="137">
        <f t="shared" si="1"/>
        <v>-8.36960160697231E-5</v>
      </c>
    </row>
    <row r="35" spans="2:31" x14ac:dyDescent="0.25">
      <c r="B35" s="192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30">
        <f t="shared" ref="H35:H41" si="7">(E35-D35)/D35</f>
        <v>9.0233326450547172E-2</v>
      </c>
      <c r="I35" s="40"/>
      <c r="W35" s="132">
        <v>42752</v>
      </c>
      <c r="X35" s="10">
        <v>118.34</v>
      </c>
      <c r="Y35" s="10">
        <v>120.24</v>
      </c>
      <c r="Z35" s="10">
        <v>118.22</v>
      </c>
      <c r="AA35" s="10">
        <v>120</v>
      </c>
      <c r="AB35" s="94">
        <v>34439800</v>
      </c>
      <c r="AC35" s="10">
        <v>119.48</v>
      </c>
      <c r="AD35" s="2">
        <f t="shared" si="0"/>
        <v>2.019999999999996</v>
      </c>
      <c r="AE35" s="137">
        <f t="shared" si="1"/>
        <v>8.0148485615456622E-3</v>
      </c>
    </row>
    <row r="36" spans="2:31" x14ac:dyDescent="0.25">
      <c r="B36" s="192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30">
        <f t="shared" si="7"/>
        <v>0.14518090256269062</v>
      </c>
      <c r="I36" s="235">
        <v>85</v>
      </c>
      <c r="W36" s="132">
        <v>42748</v>
      </c>
      <c r="X36" s="10">
        <v>119.11</v>
      </c>
      <c r="Y36" s="10">
        <v>119.62</v>
      </c>
      <c r="Z36" s="10">
        <v>118.81</v>
      </c>
      <c r="AA36" s="10">
        <v>119.04</v>
      </c>
      <c r="AB36" s="94">
        <v>26111900</v>
      </c>
      <c r="AC36" s="10">
        <v>118.53</v>
      </c>
      <c r="AD36" s="2">
        <f t="shared" si="0"/>
        <v>0.81000000000000227</v>
      </c>
      <c r="AE36" s="137">
        <f t="shared" si="1"/>
        <v>-1.7685699848407621E-3</v>
      </c>
    </row>
    <row r="37" spans="2:31" x14ac:dyDescent="0.25">
      <c r="B37" s="192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30">
        <f t="shared" si="7"/>
        <v>0.14563975497281295</v>
      </c>
      <c r="I37" s="40"/>
      <c r="W37" s="132">
        <v>42747</v>
      </c>
      <c r="X37" s="10">
        <v>118.9</v>
      </c>
      <c r="Y37" s="10">
        <v>119.3</v>
      </c>
      <c r="Z37" s="10">
        <v>118.21</v>
      </c>
      <c r="AA37" s="10">
        <v>119.25</v>
      </c>
      <c r="AB37" s="94">
        <v>27086200</v>
      </c>
      <c r="AC37" s="10">
        <v>118.74</v>
      </c>
      <c r="AD37" s="2">
        <f t="shared" si="0"/>
        <v>1.0900000000000034</v>
      </c>
      <c r="AE37" s="137">
        <f t="shared" si="1"/>
        <v>-4.1097039335737939E-3</v>
      </c>
    </row>
    <row r="38" spans="2:31" x14ac:dyDescent="0.25">
      <c r="B38" s="192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30">
        <f t="shared" si="7"/>
        <v>0.14667217289558798</v>
      </c>
      <c r="I38" s="40"/>
      <c r="W38" s="132">
        <v>42746</v>
      </c>
      <c r="X38" s="10">
        <v>118.74</v>
      </c>
      <c r="Y38" s="10">
        <v>119.93</v>
      </c>
      <c r="Z38" s="10">
        <v>118.6</v>
      </c>
      <c r="AA38" s="10">
        <v>119.75</v>
      </c>
      <c r="AB38" s="94">
        <v>27588600</v>
      </c>
      <c r="AC38" s="10">
        <v>119.23</v>
      </c>
      <c r="AD38" s="2">
        <f t="shared" si="0"/>
        <v>1.3300000000000125</v>
      </c>
      <c r="AE38" s="137">
        <f t="shared" si="1"/>
        <v>5.3119730185497982E-3</v>
      </c>
    </row>
    <row r="39" spans="2:31" ht="20.25" thickBot="1" x14ac:dyDescent="0.35">
      <c r="B39" s="192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30">
        <f t="shared" si="7"/>
        <v>0.13175946956661377</v>
      </c>
      <c r="I39" s="40"/>
      <c r="T39" s="111" t="s">
        <v>113</v>
      </c>
      <c r="U39" s="9"/>
      <c r="W39" s="132">
        <v>42745</v>
      </c>
      <c r="X39" s="10">
        <v>118.77</v>
      </c>
      <c r="Y39" s="10">
        <v>119.38</v>
      </c>
      <c r="Z39" s="10">
        <v>118.3</v>
      </c>
      <c r="AA39" s="10">
        <v>119.11</v>
      </c>
      <c r="AB39" s="94">
        <v>24462100</v>
      </c>
      <c r="AC39" s="10">
        <v>118.6</v>
      </c>
      <c r="AD39" s="2">
        <f t="shared" si="0"/>
        <v>1.0799999999999983</v>
      </c>
      <c r="AE39" s="137">
        <f t="shared" si="1"/>
        <v>1.0128291694799785E-3</v>
      </c>
    </row>
    <row r="40" spans="2:31" ht="15.75" thickTop="1" x14ac:dyDescent="0.25">
      <c r="B40" s="192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30">
        <f t="shared" si="7"/>
        <v>0.11661734003257848</v>
      </c>
      <c r="I40" s="40"/>
      <c r="T40" s="138" t="s">
        <v>98</v>
      </c>
      <c r="U40" s="364">
        <v>138.96</v>
      </c>
      <c r="W40" s="132">
        <v>42744</v>
      </c>
      <c r="X40" s="10">
        <v>117.95</v>
      </c>
      <c r="Y40" s="10">
        <v>119.43</v>
      </c>
      <c r="Z40" s="10">
        <v>117.94</v>
      </c>
      <c r="AA40" s="10">
        <v>118.99</v>
      </c>
      <c r="AB40" s="94">
        <v>33387600</v>
      </c>
      <c r="AC40" s="10">
        <v>118.48</v>
      </c>
      <c r="AD40" s="2">
        <f t="shared" si="0"/>
        <v>1.4900000000000091</v>
      </c>
      <c r="AE40" s="137">
        <f t="shared" si="1"/>
        <v>9.1993185689949186E-3</v>
      </c>
    </row>
    <row r="41" spans="2:31" x14ac:dyDescent="0.25">
      <c r="B41" s="192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30">
        <f t="shared" si="7"/>
        <v>0.44132995377963341</v>
      </c>
      <c r="I41" s="40" t="s">
        <v>259</v>
      </c>
      <c r="T41" s="107" t="s">
        <v>99</v>
      </c>
      <c r="U41" s="365">
        <v>138.78</v>
      </c>
      <c r="W41" s="132">
        <v>42741</v>
      </c>
      <c r="X41" s="10">
        <v>116.78</v>
      </c>
      <c r="Y41" s="10">
        <v>118.16</v>
      </c>
      <c r="Z41" s="10">
        <v>116.47</v>
      </c>
      <c r="AA41" s="10">
        <v>117.91</v>
      </c>
      <c r="AB41" s="94">
        <v>31751900</v>
      </c>
      <c r="AC41" s="10">
        <v>117.4</v>
      </c>
      <c r="AD41" s="2">
        <f t="shared" si="0"/>
        <v>1.6899999999999977</v>
      </c>
      <c r="AE41" s="137">
        <f t="shared" si="1"/>
        <v>1.1110154164154729E-2</v>
      </c>
    </row>
    <row r="42" spans="2:31" ht="20.25" thickBot="1" x14ac:dyDescent="0.35">
      <c r="B42" s="192">
        <v>42577</v>
      </c>
      <c r="C42" s="10">
        <v>0</v>
      </c>
      <c r="D42" s="40"/>
      <c r="E42" s="40"/>
      <c r="F42" s="40">
        <v>363.1</v>
      </c>
      <c r="G42" s="40"/>
      <c r="H42" s="230"/>
      <c r="I42" s="40"/>
      <c r="O42" s="703" t="s">
        <v>78</v>
      </c>
      <c r="P42" s="703"/>
      <c r="T42" s="107" t="s">
        <v>100</v>
      </c>
      <c r="U42" s="365" t="s">
        <v>595</v>
      </c>
      <c r="W42" s="132">
        <v>42740</v>
      </c>
      <c r="X42" s="10">
        <v>115.92</v>
      </c>
      <c r="Y42" s="10">
        <v>116.86</v>
      </c>
      <c r="Z42" s="10">
        <v>115.81</v>
      </c>
      <c r="AA42" s="10">
        <v>116.61</v>
      </c>
      <c r="AB42" s="94">
        <v>22193600</v>
      </c>
      <c r="AC42" s="10">
        <v>116.11</v>
      </c>
      <c r="AD42" s="2">
        <f t="shared" si="0"/>
        <v>1.0499999999999972</v>
      </c>
      <c r="AE42" s="137">
        <f t="shared" si="1"/>
        <v>5.1073407202215648E-3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1.1000000000000001</v>
      </c>
      <c r="P43" s="82">
        <f>O43*$Q$4</f>
        <v>153.054</v>
      </c>
      <c r="Q43" s="2"/>
      <c r="T43" s="107" t="s">
        <v>101</v>
      </c>
      <c r="U43" s="365" t="s">
        <v>596</v>
      </c>
      <c r="W43" s="132">
        <v>42739</v>
      </c>
      <c r="X43" s="10">
        <v>115.85</v>
      </c>
      <c r="Y43" s="10">
        <v>116.51</v>
      </c>
      <c r="Z43" s="10">
        <v>115.75</v>
      </c>
      <c r="AA43" s="10">
        <v>116.02</v>
      </c>
      <c r="AB43" s="94">
        <v>21118100</v>
      </c>
      <c r="AC43" s="10">
        <v>115.52</v>
      </c>
      <c r="AD43" s="2">
        <f t="shared" si="0"/>
        <v>0.76000000000000512</v>
      </c>
      <c r="AE43" s="137">
        <f t="shared" si="1"/>
        <v>-1.1240812797234101E-3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1.0900000000000001</v>
      </c>
      <c r="P44" s="82">
        <f t="shared" ref="P44:P63" si="8">O44*$Q$4</f>
        <v>151.6626</v>
      </c>
      <c r="Q44" s="2"/>
      <c r="T44" s="107" t="s">
        <v>102</v>
      </c>
      <c r="U44" s="365">
        <v>142.47999999999999</v>
      </c>
      <c r="W44" s="132">
        <v>42738</v>
      </c>
      <c r="X44" s="10">
        <v>115.8</v>
      </c>
      <c r="Y44" s="10">
        <v>116.33</v>
      </c>
      <c r="Z44" s="10">
        <v>114.76</v>
      </c>
      <c r="AA44" s="10">
        <v>116.15</v>
      </c>
      <c r="AB44" s="94">
        <v>28781900</v>
      </c>
      <c r="AC44" s="10">
        <v>115.65</v>
      </c>
      <c r="AD44" s="2">
        <f t="shared" si="0"/>
        <v>1.5699999999999932</v>
      </c>
      <c r="AE44" s="137">
        <f t="shared" si="1"/>
        <v>2.8616024973986409E-3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1.08</v>
      </c>
      <c r="P45" s="82">
        <f t="shared" si="8"/>
        <v>150.27119999999999</v>
      </c>
      <c r="Q45" s="2"/>
      <c r="T45" s="107" t="s">
        <v>103</v>
      </c>
      <c r="U45" s="365">
        <v>1.44598</v>
      </c>
      <c r="W45" s="132">
        <v>42734</v>
      </c>
      <c r="X45" s="10">
        <v>116.65</v>
      </c>
      <c r="Y45" s="10">
        <v>117.2</v>
      </c>
      <c r="Z45" s="10">
        <v>115.43</v>
      </c>
      <c r="AA45" s="10">
        <v>115.82</v>
      </c>
      <c r="AB45" s="94">
        <v>30586300</v>
      </c>
      <c r="AC45" s="10">
        <v>115.32</v>
      </c>
      <c r="AD45" s="2">
        <f t="shared" si="0"/>
        <v>1.769999999999996</v>
      </c>
      <c r="AE45" s="137">
        <f t="shared" si="1"/>
        <v>-7.8293039662739039E-3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1.07</v>
      </c>
      <c r="P46" s="82">
        <f t="shared" si="8"/>
        <v>148.87979999999999</v>
      </c>
      <c r="Q46" s="2"/>
      <c r="T46" s="107" t="s">
        <v>122</v>
      </c>
      <c r="U46" s="365" t="s">
        <v>435</v>
      </c>
      <c r="W46" s="132">
        <v>42733</v>
      </c>
      <c r="X46" s="10">
        <v>116.45</v>
      </c>
      <c r="Y46" s="10">
        <v>117.11</v>
      </c>
      <c r="Z46" s="10">
        <v>116.4</v>
      </c>
      <c r="AA46" s="10">
        <v>116.73</v>
      </c>
      <c r="AB46" s="94">
        <v>15039500</v>
      </c>
      <c r="AC46" s="10">
        <v>116.23</v>
      </c>
      <c r="AD46" s="2">
        <f t="shared" si="0"/>
        <v>0.70999999999999375</v>
      </c>
      <c r="AE46" s="137">
        <f t="shared" si="1"/>
        <v>-2.5804231894033247E-4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1.06</v>
      </c>
      <c r="P47" s="82">
        <f t="shared" si="8"/>
        <v>147.48839999999998</v>
      </c>
      <c r="Q47" s="2"/>
      <c r="T47" s="107"/>
      <c r="U47" s="365"/>
      <c r="W47" s="132">
        <v>42732</v>
      </c>
      <c r="X47" s="10">
        <v>117.52</v>
      </c>
      <c r="Y47" s="10">
        <v>118.02</v>
      </c>
      <c r="Z47" s="10">
        <v>116.2</v>
      </c>
      <c r="AA47" s="10">
        <v>116.76</v>
      </c>
      <c r="AB47" s="94">
        <v>20905900</v>
      </c>
      <c r="AC47" s="10">
        <v>116.26</v>
      </c>
      <c r="AD47" s="2">
        <f t="shared" si="0"/>
        <v>1.8199999999999932</v>
      </c>
      <c r="AE47" s="137">
        <f t="shared" si="1"/>
        <v>-4.197002141327566E-3</v>
      </c>
    </row>
    <row r="48" spans="2:31" x14ac:dyDescent="0.25">
      <c r="O48" s="82">
        <v>1.05</v>
      </c>
      <c r="P48" s="82">
        <f t="shared" si="8"/>
        <v>146.09699999999998</v>
      </c>
      <c r="Q48" s="2"/>
      <c r="T48" s="107" t="s">
        <v>105</v>
      </c>
      <c r="U48" s="365" t="s">
        <v>597</v>
      </c>
      <c r="W48" s="132">
        <v>42731</v>
      </c>
      <c r="X48" s="10">
        <v>116.52</v>
      </c>
      <c r="Y48" s="10">
        <v>117.8</v>
      </c>
      <c r="Z48" s="10">
        <v>116.49</v>
      </c>
      <c r="AA48" s="10">
        <v>117.26</v>
      </c>
      <c r="AB48" s="94">
        <v>18296900</v>
      </c>
      <c r="AC48" s="10">
        <v>116.75</v>
      </c>
      <c r="AD48" s="2">
        <f t="shared" si="0"/>
        <v>1.3100000000000023</v>
      </c>
      <c r="AE48" s="137">
        <f t="shared" si="1"/>
        <v>6.2920186174797443E-3</v>
      </c>
    </row>
    <row r="49" spans="1:31" x14ac:dyDescent="0.25">
      <c r="O49" s="82">
        <v>1.04</v>
      </c>
      <c r="P49" s="82">
        <f t="shared" si="8"/>
        <v>144.7056</v>
      </c>
      <c r="Q49" s="2"/>
      <c r="T49" s="107" t="s">
        <v>106</v>
      </c>
      <c r="U49" s="365" t="s">
        <v>550</v>
      </c>
      <c r="W49" s="132">
        <v>42727</v>
      </c>
      <c r="X49" s="10">
        <v>115.59</v>
      </c>
      <c r="Y49" s="10">
        <v>116.52</v>
      </c>
      <c r="Z49" s="10">
        <v>115.59</v>
      </c>
      <c r="AA49" s="10">
        <v>116.52</v>
      </c>
      <c r="AB49" s="94">
        <v>14249500</v>
      </c>
      <c r="AC49" s="10">
        <v>116.02</v>
      </c>
      <c r="AD49" s="2">
        <f t="shared" si="0"/>
        <v>0.92999999999999261</v>
      </c>
      <c r="AE49" s="137">
        <f t="shared" si="1"/>
        <v>1.9863546074789795E-3</v>
      </c>
    </row>
    <row r="50" spans="1:31" x14ac:dyDescent="0.25">
      <c r="O50" s="82">
        <v>1.03</v>
      </c>
      <c r="P50" s="82">
        <f t="shared" si="8"/>
        <v>143.3142</v>
      </c>
      <c r="Q50" s="2"/>
      <c r="T50" s="107" t="s">
        <v>107</v>
      </c>
      <c r="U50" s="366">
        <v>21571121</v>
      </c>
      <c r="W50" s="132">
        <v>42726</v>
      </c>
      <c r="X50" s="10">
        <v>116.35</v>
      </c>
      <c r="Y50" s="10">
        <v>116.51</v>
      </c>
      <c r="Z50" s="10">
        <v>115.64</v>
      </c>
      <c r="AA50" s="10">
        <v>116.29</v>
      </c>
      <c r="AB50" s="94">
        <v>26085900</v>
      </c>
      <c r="AC50" s="10">
        <v>115.79</v>
      </c>
      <c r="AD50" s="2">
        <f t="shared" si="0"/>
        <v>0.87000000000000455</v>
      </c>
      <c r="AE50" s="137">
        <f t="shared" si="1"/>
        <v>-6.5208065208064436E-3</v>
      </c>
    </row>
    <row r="51" spans="1:31" x14ac:dyDescent="0.25">
      <c r="O51" s="82">
        <v>1.02</v>
      </c>
      <c r="P51" s="82">
        <f t="shared" si="8"/>
        <v>141.9228</v>
      </c>
      <c r="Q51" s="2"/>
      <c r="T51" s="107" t="s">
        <v>110</v>
      </c>
      <c r="U51" s="366">
        <v>28964000</v>
      </c>
      <c r="W51" s="132">
        <v>42725</v>
      </c>
      <c r="X51" s="10">
        <v>116.8</v>
      </c>
      <c r="Y51" s="10">
        <v>117.4</v>
      </c>
      <c r="Z51" s="10">
        <v>116.78</v>
      </c>
      <c r="AA51" s="10">
        <v>117.06</v>
      </c>
      <c r="AB51" s="94">
        <v>23783200</v>
      </c>
      <c r="AC51" s="10">
        <v>116.55</v>
      </c>
      <c r="AD51" s="2">
        <f t="shared" si="0"/>
        <v>0.62000000000000455</v>
      </c>
      <c r="AE51" s="137">
        <f t="shared" si="1"/>
        <v>8.5873765564614679E-4</v>
      </c>
    </row>
    <row r="52" spans="1:31" x14ac:dyDescent="0.25">
      <c r="O52" s="82">
        <v>1.01</v>
      </c>
      <c r="P52" s="82">
        <f t="shared" si="8"/>
        <v>140.53139999999999</v>
      </c>
      <c r="Q52" s="2"/>
      <c r="T52" s="107" t="s">
        <v>108</v>
      </c>
      <c r="U52" s="365" t="s">
        <v>598</v>
      </c>
      <c r="W52" s="132">
        <v>42724</v>
      </c>
      <c r="X52" s="10">
        <v>116.74</v>
      </c>
      <c r="Y52" s="10">
        <v>117.5</v>
      </c>
      <c r="Z52" s="10">
        <v>116.68</v>
      </c>
      <c r="AA52" s="10">
        <v>116.95</v>
      </c>
      <c r="AB52" s="94">
        <v>21425000</v>
      </c>
      <c r="AC52" s="10">
        <v>116.45</v>
      </c>
      <c r="AD52" s="2">
        <f t="shared" si="0"/>
        <v>0.81999999999999318</v>
      </c>
      <c r="AE52" s="137">
        <f t="shared" si="1"/>
        <v>2.669192354055383E-3</v>
      </c>
    </row>
    <row r="53" spans="1:31" x14ac:dyDescent="0.25">
      <c r="O53" s="82">
        <v>1</v>
      </c>
      <c r="P53" s="82">
        <f t="shared" si="8"/>
        <v>139.13999999999999</v>
      </c>
      <c r="Q53" s="2"/>
      <c r="T53" s="107" t="s">
        <v>111</v>
      </c>
      <c r="U53" s="365">
        <v>16.78</v>
      </c>
      <c r="W53" s="132">
        <v>42723</v>
      </c>
      <c r="X53" s="10">
        <v>115.8</v>
      </c>
      <c r="Y53" s="10">
        <v>117.38</v>
      </c>
      <c r="Z53" s="10">
        <v>115.75</v>
      </c>
      <c r="AA53" s="10">
        <v>116.64</v>
      </c>
      <c r="AB53" s="94">
        <v>27779400</v>
      </c>
      <c r="AC53" s="10">
        <v>116.14</v>
      </c>
      <c r="AD53" s="2">
        <f t="shared" si="0"/>
        <v>1.6299999999999955</v>
      </c>
      <c r="AE53" s="137">
        <f t="shared" si="1"/>
        <v>5.8023729107128386E-3</v>
      </c>
    </row>
    <row r="54" spans="1:31" x14ac:dyDescent="0.25">
      <c r="O54" s="82">
        <v>0.99</v>
      </c>
      <c r="P54" s="82">
        <f t="shared" si="8"/>
        <v>137.74859999999998</v>
      </c>
      <c r="Q54" s="2"/>
      <c r="T54" s="107" t="s">
        <v>112</v>
      </c>
      <c r="U54" s="365">
        <v>8.33</v>
      </c>
      <c r="W54" s="132">
        <v>42720</v>
      </c>
      <c r="X54" s="10">
        <v>116.47</v>
      </c>
      <c r="Y54" s="10">
        <v>116.5</v>
      </c>
      <c r="Z54" s="10">
        <v>115.65</v>
      </c>
      <c r="AA54" s="10">
        <v>115.97</v>
      </c>
      <c r="AB54" s="94">
        <v>44351100</v>
      </c>
      <c r="AC54" s="10">
        <v>115.47</v>
      </c>
      <c r="AD54" s="2">
        <f t="shared" si="0"/>
        <v>0.84999999999999432</v>
      </c>
      <c r="AE54" s="137">
        <f t="shared" si="1"/>
        <v>1.3007284079085135E-3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136.35719999999998</v>
      </c>
      <c r="Q55" s="2"/>
      <c r="T55" s="107" t="s">
        <v>109</v>
      </c>
      <c r="U55" s="365" t="s">
        <v>599</v>
      </c>
      <c r="W55" s="132">
        <v>42719</v>
      </c>
      <c r="X55" s="10">
        <v>115.38</v>
      </c>
      <c r="Y55" s="10">
        <v>116.73</v>
      </c>
      <c r="Z55" s="10">
        <v>115.23</v>
      </c>
      <c r="AA55" s="10">
        <v>115.82</v>
      </c>
      <c r="AB55" s="94">
        <v>46524500</v>
      </c>
      <c r="AC55" s="10">
        <v>115.32</v>
      </c>
      <c r="AD55" s="2">
        <f t="shared" si="0"/>
        <v>1.5</v>
      </c>
      <c r="AE55" s="137">
        <f t="shared" si="1"/>
        <v>5.4930682709912748E-3</v>
      </c>
    </row>
    <row r="56" spans="1:31" x14ac:dyDescent="0.25">
      <c r="A56" s="262" t="s">
        <v>1</v>
      </c>
      <c r="B56" s="262" t="s">
        <v>2</v>
      </c>
      <c r="C56" s="262" t="s">
        <v>4</v>
      </c>
      <c r="D56" s="263" t="s">
        <v>5</v>
      </c>
      <c r="E56" s="263" t="s">
        <v>94</v>
      </c>
      <c r="F56" s="263" t="s">
        <v>60</v>
      </c>
      <c r="G56" s="262" t="s">
        <v>3</v>
      </c>
      <c r="H56" s="262" t="s">
        <v>6</v>
      </c>
      <c r="I56" s="262" t="s">
        <v>7</v>
      </c>
      <c r="J56" s="262" t="s">
        <v>95</v>
      </c>
      <c r="K56" s="263" t="s">
        <v>61</v>
      </c>
      <c r="L56" s="262" t="s">
        <v>77</v>
      </c>
      <c r="M56" s="262" t="s">
        <v>38</v>
      </c>
      <c r="O56" s="82">
        <v>0.97</v>
      </c>
      <c r="P56" s="82">
        <f t="shared" si="8"/>
        <v>134.96579999999997</v>
      </c>
      <c r="W56" s="132">
        <v>42718</v>
      </c>
      <c r="X56" s="10">
        <v>115.04</v>
      </c>
      <c r="Y56" s="10">
        <v>116.2</v>
      </c>
      <c r="Z56" s="10">
        <v>114.98</v>
      </c>
      <c r="AA56" s="10">
        <v>115.19</v>
      </c>
      <c r="AB56" s="94">
        <v>34031800</v>
      </c>
      <c r="AC56" s="10">
        <v>114.69</v>
      </c>
      <c r="AD56" s="2">
        <f t="shared" si="0"/>
        <v>1.2199999999999989</v>
      </c>
      <c r="AE56" s="137">
        <f t="shared" si="1"/>
        <v>0</v>
      </c>
    </row>
    <row r="57" spans="1:31" x14ac:dyDescent="0.25">
      <c r="A57" s="264" t="s">
        <v>206</v>
      </c>
      <c r="B57" s="265">
        <v>42502</v>
      </c>
      <c r="C57" s="260">
        <v>25</v>
      </c>
      <c r="D57" s="261">
        <v>90.65</v>
      </c>
      <c r="E57" s="261">
        <v>0</v>
      </c>
      <c r="F57" s="261">
        <f>C57*D57 + E57</f>
        <v>2266.25</v>
      </c>
      <c r="G57" s="265">
        <v>42502</v>
      </c>
      <c r="H57" s="266">
        <v>25</v>
      </c>
      <c r="I57" s="261">
        <v>90.64</v>
      </c>
      <c r="J57" s="261">
        <v>0.05</v>
      </c>
      <c r="K57" s="261">
        <f>H57*I57-J57</f>
        <v>2265.9499999999998</v>
      </c>
      <c r="L57" s="265">
        <v>42588</v>
      </c>
      <c r="M57" s="260"/>
      <c r="O57" s="82">
        <v>0.96</v>
      </c>
      <c r="P57" s="82">
        <f t="shared" si="8"/>
        <v>133.57439999999997</v>
      </c>
      <c r="W57" s="132">
        <v>42717</v>
      </c>
      <c r="X57" s="10">
        <v>113.84</v>
      </c>
      <c r="Y57" s="10">
        <v>115.92</v>
      </c>
      <c r="Z57" s="10">
        <v>113.75</v>
      </c>
      <c r="AA57" s="10">
        <v>115.19</v>
      </c>
      <c r="AB57" s="94">
        <v>43733800</v>
      </c>
      <c r="AC57" s="10">
        <v>114.69</v>
      </c>
      <c r="AD57" s="2">
        <f t="shared" si="0"/>
        <v>2.1700000000000017</v>
      </c>
      <c r="AE57" s="137">
        <f t="shared" si="1"/>
        <v>1.6665189256271473E-2</v>
      </c>
    </row>
    <row r="58" spans="1:31" x14ac:dyDescent="0.25">
      <c r="A58" s="267" t="s">
        <v>71</v>
      </c>
      <c r="B58" s="460">
        <v>42502</v>
      </c>
      <c r="C58" s="260">
        <v>25</v>
      </c>
      <c r="D58" s="261">
        <v>90.44</v>
      </c>
      <c r="E58" s="261">
        <v>0</v>
      </c>
      <c r="F58" s="261">
        <f>C58*D58 + E58</f>
        <v>2261</v>
      </c>
      <c r="G58" s="265">
        <v>42552</v>
      </c>
      <c r="H58" s="266">
        <v>25</v>
      </c>
      <c r="I58" s="261">
        <v>96.28</v>
      </c>
      <c r="J58" s="261">
        <v>0.05</v>
      </c>
      <c r="K58" s="261">
        <f>H58*I58-J58</f>
        <v>2406.9499999999998</v>
      </c>
      <c r="L58" s="260"/>
      <c r="M58" s="260"/>
      <c r="O58" s="82">
        <v>0.95</v>
      </c>
      <c r="P58" s="82">
        <f t="shared" si="8"/>
        <v>132.18299999999999</v>
      </c>
      <c r="W58" s="132">
        <v>42716</v>
      </c>
      <c r="X58" s="10">
        <v>113.29</v>
      </c>
      <c r="Y58" s="10">
        <v>115</v>
      </c>
      <c r="Z58" s="10">
        <v>112.49</v>
      </c>
      <c r="AA58" s="10">
        <v>113.3</v>
      </c>
      <c r="AB58" s="94">
        <v>26374400</v>
      </c>
      <c r="AC58" s="10">
        <v>112.81</v>
      </c>
      <c r="AD58" s="2">
        <f t="shared" si="0"/>
        <v>2.5100000000000051</v>
      </c>
      <c r="AE58" s="137">
        <f t="shared" si="1"/>
        <v>-5.728891239203171E-3</v>
      </c>
    </row>
    <row r="59" spans="1:31" x14ac:dyDescent="0.25">
      <c r="A59" s="260"/>
      <c r="B59" s="460">
        <v>42545</v>
      </c>
      <c r="C59" s="260">
        <v>25</v>
      </c>
      <c r="D59" s="261">
        <v>93</v>
      </c>
      <c r="E59" s="261">
        <v>0</v>
      </c>
      <c r="F59" s="261">
        <f>C59*D59 + E59</f>
        <v>2325</v>
      </c>
      <c r="G59" s="265">
        <v>42577</v>
      </c>
      <c r="H59" s="266">
        <v>15</v>
      </c>
      <c r="I59" s="261">
        <v>100.58</v>
      </c>
      <c r="J59" s="261">
        <v>0.03</v>
      </c>
      <c r="K59" s="261">
        <f>H59*I59-J59</f>
        <v>1508.67</v>
      </c>
      <c r="L59" s="260"/>
      <c r="M59" s="260"/>
      <c r="O59" s="82">
        <v>0.94</v>
      </c>
      <c r="P59" s="82">
        <f t="shared" si="8"/>
        <v>130.79159999999999</v>
      </c>
      <c r="W59" s="132">
        <v>42713</v>
      </c>
      <c r="X59" s="10">
        <v>112.31</v>
      </c>
      <c r="Y59" s="10">
        <v>114.7</v>
      </c>
      <c r="Z59" s="10">
        <v>112.31</v>
      </c>
      <c r="AA59" s="10">
        <v>113.95</v>
      </c>
      <c r="AB59" s="94">
        <v>34402600</v>
      </c>
      <c r="AC59" s="10">
        <v>113.46</v>
      </c>
      <c r="AD59" s="2">
        <f t="shared" si="0"/>
        <v>2.3900000000000006</v>
      </c>
      <c r="AE59" s="137">
        <f t="shared" si="1"/>
        <v>1.6302400573271258E-2</v>
      </c>
    </row>
    <row r="60" spans="1:31" x14ac:dyDescent="0.25">
      <c r="A60" s="260"/>
      <c r="B60" s="265"/>
      <c r="C60" s="260"/>
      <c r="D60" s="261"/>
      <c r="E60" s="261"/>
      <c r="F60" s="261"/>
      <c r="G60" s="265">
        <v>42577</v>
      </c>
      <c r="H60" s="266">
        <v>10</v>
      </c>
      <c r="I60" s="261">
        <v>103.38</v>
      </c>
      <c r="J60" s="261">
        <v>0.02</v>
      </c>
      <c r="K60" s="261">
        <f>H60*I60-J60</f>
        <v>1033.78</v>
      </c>
      <c r="L60" s="260"/>
      <c r="M60" s="260"/>
      <c r="O60" s="82">
        <v>0.93</v>
      </c>
      <c r="P60" s="82">
        <f t="shared" si="8"/>
        <v>129.40019999999998</v>
      </c>
      <c r="W60" s="132">
        <v>42712</v>
      </c>
      <c r="X60" s="10">
        <v>110.86</v>
      </c>
      <c r="Y60" s="10">
        <v>112.43</v>
      </c>
      <c r="Z60" s="10">
        <v>110.6</v>
      </c>
      <c r="AA60" s="10">
        <v>112.12</v>
      </c>
      <c r="AB60" s="94">
        <v>27068300</v>
      </c>
      <c r="AC60" s="10">
        <v>111.64</v>
      </c>
      <c r="AD60" s="2">
        <f t="shared" si="0"/>
        <v>1.8300000000000125</v>
      </c>
      <c r="AE60" s="137">
        <f t="shared" si="1"/>
        <v>9.8597919493441655E-3</v>
      </c>
    </row>
    <row r="61" spans="1:31" x14ac:dyDescent="0.25">
      <c r="A61" s="260"/>
      <c r="B61" s="461"/>
      <c r="C61" s="260"/>
      <c r="D61" s="261"/>
      <c r="E61" s="261"/>
      <c r="F61" s="261"/>
      <c r="G61" s="265"/>
      <c r="H61" s="266"/>
      <c r="I61" s="261"/>
      <c r="J61" s="261"/>
      <c r="K61" s="261"/>
      <c r="L61" s="260"/>
      <c r="M61" s="260"/>
      <c r="O61" s="82">
        <v>0.92</v>
      </c>
      <c r="P61" s="82">
        <f t="shared" si="8"/>
        <v>128.00879999999998</v>
      </c>
      <c r="W61" s="132">
        <v>42711</v>
      </c>
      <c r="X61" s="10">
        <v>109.26</v>
      </c>
      <c r="Y61" s="10">
        <v>111.19</v>
      </c>
      <c r="Z61" s="10">
        <v>109.16</v>
      </c>
      <c r="AA61" s="10">
        <v>111.03</v>
      </c>
      <c r="AB61" s="94">
        <v>29998700</v>
      </c>
      <c r="AC61" s="10">
        <v>110.55</v>
      </c>
      <c r="AD61" s="2">
        <f t="shared" si="0"/>
        <v>2.0300000000000011</v>
      </c>
      <c r="AE61" s="137">
        <f t="shared" si="1"/>
        <v>9.7734746072342116E-3</v>
      </c>
    </row>
    <row r="62" spans="1:31" x14ac:dyDescent="0.25">
      <c r="A62" s="260"/>
      <c r="B62" s="461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O62" s="82">
        <v>0.91</v>
      </c>
      <c r="P62" s="82">
        <f t="shared" si="8"/>
        <v>126.61739999999999</v>
      </c>
      <c r="W62" s="132">
        <v>42710</v>
      </c>
      <c r="X62" s="10">
        <v>109.5</v>
      </c>
      <c r="Y62" s="10">
        <v>110.36</v>
      </c>
      <c r="Z62" s="10">
        <v>109.19</v>
      </c>
      <c r="AA62" s="10">
        <v>109.95</v>
      </c>
      <c r="AB62" s="94">
        <v>26195500</v>
      </c>
      <c r="AC62" s="10">
        <v>109.48</v>
      </c>
      <c r="AD62" s="2">
        <f t="shared" si="0"/>
        <v>1.1700000000000017</v>
      </c>
      <c r="AE62" s="137">
        <f t="shared" si="1"/>
        <v>7.7319587628865705E-3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O63" s="82">
        <v>0.9</v>
      </c>
      <c r="P63" s="82">
        <f t="shared" si="8"/>
        <v>125.22599999999998</v>
      </c>
      <c r="W63" s="132">
        <v>42709</v>
      </c>
      <c r="X63" s="10">
        <v>110</v>
      </c>
      <c r="Y63" s="10">
        <v>110.03</v>
      </c>
      <c r="Z63" s="10">
        <v>108.25</v>
      </c>
      <c r="AA63" s="10">
        <v>109.11</v>
      </c>
      <c r="AB63" s="94">
        <v>34324500</v>
      </c>
      <c r="AC63" s="10">
        <v>108.64</v>
      </c>
      <c r="AD63" s="2">
        <f t="shared" si="0"/>
        <v>1.7800000000000011</v>
      </c>
      <c r="AE63" s="137">
        <f t="shared" si="1"/>
        <v>-7.2192269030431078E-3</v>
      </c>
    </row>
    <row r="64" spans="1:31" x14ac:dyDescent="0.25">
      <c r="A64" s="260"/>
      <c r="B64" s="265"/>
      <c r="C64" s="260"/>
      <c r="D64" s="261"/>
      <c r="E64" s="261"/>
      <c r="F64" s="261"/>
      <c r="G64" s="265"/>
      <c r="H64" s="266"/>
      <c r="I64" s="261"/>
      <c r="J64" s="261"/>
      <c r="K64" s="261"/>
      <c r="L64" s="260"/>
      <c r="M64" s="260"/>
      <c r="W64" s="132">
        <v>42706</v>
      </c>
      <c r="X64" s="10">
        <v>109.17</v>
      </c>
      <c r="Y64" s="10">
        <v>110.09</v>
      </c>
      <c r="Z64" s="10">
        <v>108.85</v>
      </c>
      <c r="AA64" s="10">
        <v>109.9</v>
      </c>
      <c r="AB64" s="94">
        <v>26528000</v>
      </c>
      <c r="AC64" s="10">
        <v>109.43</v>
      </c>
      <c r="AD64" s="2">
        <f t="shared" si="0"/>
        <v>1.2400000000000091</v>
      </c>
      <c r="AE64" s="137">
        <f t="shared" si="1"/>
        <v>3.7607778389288082E-3</v>
      </c>
    </row>
    <row r="65" spans="1:31" x14ac:dyDescent="0.25">
      <c r="A65" s="260"/>
      <c r="B65" s="265"/>
      <c r="C65" s="260"/>
      <c r="D65" s="261"/>
      <c r="E65" s="261"/>
      <c r="F65" s="261"/>
      <c r="G65" s="265"/>
      <c r="H65" s="266"/>
      <c r="I65" s="260"/>
      <c r="J65" s="260"/>
      <c r="K65" s="261"/>
      <c r="L65" s="260"/>
      <c r="M65" s="260"/>
      <c r="W65" s="132">
        <v>42705</v>
      </c>
      <c r="X65" s="10">
        <v>110.37</v>
      </c>
      <c r="Y65" s="10">
        <v>110.94</v>
      </c>
      <c r="Z65" s="10">
        <v>109.03</v>
      </c>
      <c r="AA65" s="10">
        <v>109.49</v>
      </c>
      <c r="AB65" s="94">
        <v>37086900</v>
      </c>
      <c r="AC65" s="10">
        <v>109.02</v>
      </c>
      <c r="AD65" s="2">
        <f t="shared" si="0"/>
        <v>1.9099999999999966</v>
      </c>
      <c r="AE65" s="137">
        <f t="shared" si="1"/>
        <v>-9.2693565976009751E-3</v>
      </c>
    </row>
    <row r="66" spans="1:31" x14ac:dyDescent="0.25">
      <c r="A66" s="260"/>
      <c r="B66" s="265"/>
      <c r="C66" s="260"/>
      <c r="D66" s="261"/>
      <c r="E66" s="261"/>
      <c r="F66" s="261"/>
      <c r="G66" s="265"/>
      <c r="H66" s="266"/>
      <c r="I66" s="260"/>
      <c r="J66" s="260"/>
      <c r="K66" s="261"/>
      <c r="L66" s="260"/>
      <c r="M66" s="260"/>
      <c r="W66" s="132">
        <v>42704</v>
      </c>
      <c r="X66" s="10">
        <v>111.6</v>
      </c>
      <c r="Y66" s="10">
        <v>112.2</v>
      </c>
      <c r="Z66" s="10">
        <v>110.27</v>
      </c>
      <c r="AA66" s="10">
        <v>110.52</v>
      </c>
      <c r="AB66" s="94">
        <v>36162300</v>
      </c>
      <c r="AC66" s="10">
        <v>110.04</v>
      </c>
      <c r="AD66" s="2">
        <f t="shared" si="0"/>
        <v>1.9300000000000068</v>
      </c>
      <c r="AE66" s="137">
        <f t="shared" si="1"/>
        <v>-8.4699945936204113E-3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0"/>
      <c r="J67" s="260"/>
      <c r="K67" s="261"/>
      <c r="L67" s="260"/>
      <c r="M67" s="260"/>
      <c r="W67" s="132">
        <v>42703</v>
      </c>
      <c r="X67" s="10">
        <v>110.78</v>
      </c>
      <c r="Y67" s="10">
        <v>112.03</v>
      </c>
      <c r="Z67" s="10">
        <v>110.07</v>
      </c>
      <c r="AA67" s="10">
        <v>111.46</v>
      </c>
      <c r="AB67" s="94">
        <v>28528800</v>
      </c>
      <c r="AC67" s="10">
        <v>110.98</v>
      </c>
      <c r="AD67" s="2">
        <f>Y67-Z67</f>
        <v>1.960000000000008</v>
      </c>
      <c r="AE67" s="137">
        <f>AC67/AC68-1</f>
        <v>-9.9018813574580644E-4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0"/>
      <c r="K68" s="261"/>
      <c r="L68" s="260"/>
      <c r="M68" s="260"/>
      <c r="W68" s="132">
        <v>42702</v>
      </c>
      <c r="X68" s="10">
        <v>111.43</v>
      </c>
      <c r="Y68" s="10">
        <v>112.47</v>
      </c>
      <c r="Z68" s="10">
        <v>111.39</v>
      </c>
      <c r="AA68" s="10">
        <v>111.57</v>
      </c>
      <c r="AB68" s="94">
        <v>27194000</v>
      </c>
      <c r="AC68" s="10">
        <v>111.09</v>
      </c>
      <c r="AD68" s="2">
        <f>Y68-Z68</f>
        <v>1.0799999999999983</v>
      </c>
      <c r="AE68" s="137" t="e">
        <f>AC68/AC69-1</f>
        <v>#DIV/0!</v>
      </c>
    </row>
    <row r="69" spans="1:31" x14ac:dyDescent="0.25">
      <c r="A69" s="260"/>
      <c r="B69" s="265"/>
      <c r="C69" s="260"/>
      <c r="D69" s="261"/>
      <c r="E69" s="261"/>
      <c r="F69" s="261"/>
      <c r="G69" s="265"/>
      <c r="H69" s="266"/>
      <c r="I69" s="260"/>
      <c r="J69" s="260"/>
      <c r="K69" s="261"/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5"/>
      <c r="H70" s="266"/>
      <c r="I70" s="260"/>
      <c r="J70" s="260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5"/>
      <c r="H71" s="266"/>
      <c r="I71" s="260"/>
      <c r="J71" s="260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5"/>
      <c r="H72" s="266"/>
      <c r="I72" s="260"/>
      <c r="J72" s="260"/>
      <c r="K72" s="261"/>
      <c r="L72" s="260"/>
      <c r="M72" s="260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2"/>
      <c r="B74" s="463"/>
      <c r="C74" s="464"/>
      <c r="D74" s="464"/>
      <c r="E74" s="464"/>
      <c r="F74" s="465"/>
      <c r="G74" s="464"/>
      <c r="H74" s="464"/>
      <c r="I74" s="464"/>
      <c r="J74" s="464"/>
      <c r="K74" s="465"/>
      <c r="L74" s="464"/>
      <c r="M74" s="465"/>
    </row>
  </sheetData>
  <mergeCells count="1">
    <mergeCell ref="O42:P42"/>
  </mergeCells>
  <conditionalFormatting sqref="N19">
    <cfRule type="expression" dxfId="1113" priority="35">
      <formula>N19&gt;0</formula>
    </cfRule>
    <cfRule type="expression" dxfId="111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111" priority="21">
      <formula>F25&gt;0</formula>
    </cfRule>
    <cfRule type="expression" dxfId="1110" priority="22">
      <formula>F25&lt;0</formula>
    </cfRule>
  </conditionalFormatting>
  <conditionalFormatting sqref="H25:H47">
    <cfRule type="expression" dxfId="1109" priority="19">
      <formula>H25&gt;0</formula>
    </cfRule>
    <cfRule type="expression" dxfId="1108" priority="20">
      <formula>H25&lt;0</formula>
    </cfRule>
  </conditionalFormatting>
  <conditionalFormatting sqref="I25:I27">
    <cfRule type="expression" dxfId="1107" priority="15">
      <formula>I25&gt;0</formula>
    </cfRule>
    <cfRule type="expression" dxfId="1106" priority="16">
      <formula>I25&lt;0</formula>
    </cfRule>
  </conditionalFormatting>
  <conditionalFormatting sqref="Q7">
    <cfRule type="expression" dxfId="1105" priority="5">
      <formula>Q7&gt;0</formula>
    </cfRule>
    <cfRule type="expression" dxfId="1104" priority="6">
      <formula>Q7&lt;0</formula>
    </cfRule>
  </conditionalFormatting>
  <conditionalFormatting sqref="Q8">
    <cfRule type="expression" dxfId="1103" priority="3">
      <formula>Q8&gt;0</formula>
    </cfRule>
    <cfRule type="expression" dxfId="110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254</v>
      </c>
      <c r="W2" s="132">
        <v>42797</v>
      </c>
      <c r="X2" s="10">
        <v>80.099999999999994</v>
      </c>
      <c r="Y2" s="10">
        <v>80.66</v>
      </c>
      <c r="Z2" s="10">
        <v>79.819999999999993</v>
      </c>
      <c r="AA2" s="10">
        <v>79.88</v>
      </c>
      <c r="AB2" s="94">
        <v>4579600</v>
      </c>
      <c r="AC2" s="10">
        <v>79.88</v>
      </c>
      <c r="AD2" s="2">
        <f>Y2-Z2</f>
        <v>0.84000000000000341</v>
      </c>
      <c r="AE2" s="137">
        <f>AC2/AC3-1</f>
        <v>-2.7465667915106406E-3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4"/>
      <c r="I3" s="3"/>
      <c r="J3" s="3"/>
      <c r="K3" s="3"/>
      <c r="L3" s="4"/>
      <c r="O3" s="11" t="s">
        <v>58</v>
      </c>
      <c r="Q3" s="229">
        <f>IF(Q2=0, Q4, (F18-K18-M18)/Q2)</f>
        <v>79.38</v>
      </c>
      <c r="T3" s="1">
        <v>42572</v>
      </c>
      <c r="U3" t="s">
        <v>245</v>
      </c>
      <c r="W3" s="132">
        <v>42796</v>
      </c>
      <c r="X3" s="10">
        <v>81.66</v>
      </c>
      <c r="Y3" s="10">
        <v>81.66</v>
      </c>
      <c r="Z3" s="10">
        <v>80.06</v>
      </c>
      <c r="AA3" s="10">
        <v>80.099999999999994</v>
      </c>
      <c r="AB3" s="94">
        <v>4383600</v>
      </c>
      <c r="AC3" s="10">
        <v>80.099999999999994</v>
      </c>
      <c r="AD3" s="2">
        <f t="shared" ref="AD3:AD66" si="0">Y3-Z3</f>
        <v>1.5999999999999943</v>
      </c>
      <c r="AE3" s="137">
        <f t="shared" ref="AE3:AE66" si="1">AC3/AC4-1</f>
        <v>-2.2216796875000111E-2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79.38</v>
      </c>
      <c r="R4" s="499">
        <v>1E-3</v>
      </c>
      <c r="T4" s="162"/>
      <c r="U4" s="1"/>
      <c r="W4" s="132">
        <v>42795</v>
      </c>
      <c r="X4" s="10">
        <v>81.05</v>
      </c>
      <c r="Y4" s="10">
        <v>82</v>
      </c>
      <c r="Z4" s="10">
        <v>81.02</v>
      </c>
      <c r="AA4" s="10">
        <v>81.92</v>
      </c>
      <c r="AB4" s="94">
        <v>4687500</v>
      </c>
      <c r="AC4" s="10">
        <v>81.92</v>
      </c>
      <c r="AD4" s="2">
        <f t="shared" si="0"/>
        <v>0.98000000000000398</v>
      </c>
      <c r="AE4" s="137">
        <f t="shared" si="1"/>
        <v>2.323257556832381E-2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42794</v>
      </c>
      <c r="X5" s="10">
        <v>80.12</v>
      </c>
      <c r="Y5" s="10">
        <v>80.489999999999995</v>
      </c>
      <c r="Z5" s="10">
        <v>79.77</v>
      </c>
      <c r="AA5" s="10">
        <v>80.06</v>
      </c>
      <c r="AB5" s="94">
        <v>4389900</v>
      </c>
      <c r="AC5" s="10">
        <v>80.06</v>
      </c>
      <c r="AD5" s="2">
        <f t="shared" si="0"/>
        <v>0.71999999999999886</v>
      </c>
      <c r="AE5" s="137">
        <f t="shared" si="1"/>
        <v>-1.3720843208182565E-3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42793</v>
      </c>
      <c r="X6" s="10">
        <v>79.75</v>
      </c>
      <c r="Y6" s="10">
        <v>80.31</v>
      </c>
      <c r="Z6" s="10">
        <v>79.59</v>
      </c>
      <c r="AA6" s="10">
        <v>80.17</v>
      </c>
      <c r="AB6" s="94">
        <v>2545400</v>
      </c>
      <c r="AC6" s="10">
        <v>80.17</v>
      </c>
      <c r="AD6" s="2">
        <f t="shared" si="0"/>
        <v>0.71999999999999886</v>
      </c>
      <c r="AE6" s="137">
        <f t="shared" si="1"/>
        <v>5.1404212637913282E-3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42790</v>
      </c>
      <c r="X7" s="10">
        <v>79.760000000000005</v>
      </c>
      <c r="Y7" s="10">
        <v>79.89</v>
      </c>
      <c r="Z7" s="10">
        <v>79.260000000000005</v>
      </c>
      <c r="AA7" s="10">
        <v>79.760000000000005</v>
      </c>
      <c r="AB7" s="94">
        <v>3920600</v>
      </c>
      <c r="AC7" s="10">
        <v>79.760000000000005</v>
      </c>
      <c r="AD7" s="2">
        <f t="shared" si="0"/>
        <v>0.62999999999999545</v>
      </c>
      <c r="AE7" s="137">
        <f t="shared" si="1"/>
        <v>-3.6227357901310597E-3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42789</v>
      </c>
      <c r="X8" s="10">
        <v>79.87</v>
      </c>
      <c r="Y8" s="10">
        <v>80.45</v>
      </c>
      <c r="Z8" s="10">
        <v>79.77</v>
      </c>
      <c r="AA8" s="10">
        <v>80.05</v>
      </c>
      <c r="AB8" s="94">
        <v>3338500</v>
      </c>
      <c r="AC8" s="10">
        <v>80.05</v>
      </c>
      <c r="AD8" s="2">
        <f t="shared" si="0"/>
        <v>0.68000000000000682</v>
      </c>
      <c r="AE8" s="137">
        <f t="shared" si="1"/>
        <v>2.3791635361882779E-3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42788</v>
      </c>
      <c r="X9" s="10">
        <v>79.83</v>
      </c>
      <c r="Y9" s="10">
        <v>79.97</v>
      </c>
      <c r="Z9" s="10">
        <v>79.39</v>
      </c>
      <c r="AA9" s="10">
        <v>79.86</v>
      </c>
      <c r="AB9" s="94">
        <v>2940000</v>
      </c>
      <c r="AC9" s="10">
        <v>79.86</v>
      </c>
      <c r="AD9" s="2">
        <f t="shared" si="0"/>
        <v>0.57999999999999829</v>
      </c>
      <c r="AE9" s="137">
        <f t="shared" si="1"/>
        <v>-1.3755158184318717E-3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42787</v>
      </c>
      <c r="X10" s="10">
        <v>79.92</v>
      </c>
      <c r="Y10" s="10">
        <v>80.45</v>
      </c>
      <c r="Z10" s="10">
        <v>79.64</v>
      </c>
      <c r="AA10" s="10">
        <v>79.97</v>
      </c>
      <c r="AB10" s="94">
        <v>3435100</v>
      </c>
      <c r="AC10" s="10">
        <v>79.97</v>
      </c>
      <c r="AD10" s="2">
        <f t="shared" si="0"/>
        <v>0.81000000000000227</v>
      </c>
      <c r="AE10" s="137">
        <f t="shared" si="1"/>
        <v>3.2618241124076075E-3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1.6E-2</v>
      </c>
      <c r="W11" s="132">
        <v>42783</v>
      </c>
      <c r="X11" s="10">
        <v>79.22</v>
      </c>
      <c r="Y11" s="10">
        <v>79.78</v>
      </c>
      <c r="Z11" s="10">
        <v>78.900000000000006</v>
      </c>
      <c r="AA11" s="10">
        <v>79.709999999999994</v>
      </c>
      <c r="AB11" s="94">
        <v>2640100</v>
      </c>
      <c r="AC11" s="10">
        <v>79.709999999999994</v>
      </c>
      <c r="AD11" s="2">
        <f t="shared" si="0"/>
        <v>0.87999999999999545</v>
      </c>
      <c r="AE11" s="137">
        <f t="shared" si="1"/>
        <v>2.5154068670605323E-3</v>
      </c>
    </row>
    <row r="12" spans="1:31" x14ac:dyDescent="0.25">
      <c r="H12" s="71"/>
      <c r="W12" s="132">
        <v>42782</v>
      </c>
      <c r="X12" s="10">
        <v>79.459999999999994</v>
      </c>
      <c r="Y12" s="10">
        <v>79.599999999999994</v>
      </c>
      <c r="Z12" s="10">
        <v>78.92</v>
      </c>
      <c r="AA12" s="10">
        <v>79.510000000000005</v>
      </c>
      <c r="AB12" s="94">
        <v>4274100</v>
      </c>
      <c r="AC12" s="10">
        <v>79.510000000000005</v>
      </c>
      <c r="AD12" s="2">
        <f t="shared" si="0"/>
        <v>0.67999999999999261</v>
      </c>
      <c r="AE12" s="137">
        <f t="shared" si="1"/>
        <v>-1.1306532663315494E-3</v>
      </c>
    </row>
    <row r="13" spans="1:31" x14ac:dyDescent="0.25">
      <c r="H13" s="71"/>
      <c r="W13" s="132">
        <v>42781</v>
      </c>
      <c r="X13" s="10">
        <v>79.790000000000006</v>
      </c>
      <c r="Y13" s="10">
        <v>80.099999999999994</v>
      </c>
      <c r="Z13" s="10">
        <v>78.67</v>
      </c>
      <c r="AA13" s="10">
        <v>79.599999999999994</v>
      </c>
      <c r="AB13" s="94">
        <v>5686500</v>
      </c>
      <c r="AC13" s="10">
        <v>79.599999999999994</v>
      </c>
      <c r="AD13" s="2">
        <f t="shared" si="0"/>
        <v>1.4299999999999926</v>
      </c>
      <c r="AE13" s="137">
        <f t="shared" si="1"/>
        <v>2.3926457624983133E-3</v>
      </c>
    </row>
    <row r="14" spans="1:31" x14ac:dyDescent="0.25">
      <c r="H14" s="71"/>
      <c r="W14" s="132">
        <v>42780</v>
      </c>
      <c r="X14" s="10">
        <v>79</v>
      </c>
      <c r="Y14" s="10">
        <v>79.45</v>
      </c>
      <c r="Z14" s="10">
        <v>78.67</v>
      </c>
      <c r="AA14" s="10">
        <v>79.41</v>
      </c>
      <c r="AB14" s="94">
        <v>3500800</v>
      </c>
      <c r="AC14" s="10">
        <v>79.41</v>
      </c>
      <c r="AD14" s="2">
        <f t="shared" si="0"/>
        <v>0.78000000000000114</v>
      </c>
      <c r="AE14" s="137">
        <f t="shared" si="1"/>
        <v>6.3363325307312923E-3</v>
      </c>
    </row>
    <row r="15" spans="1:31" x14ac:dyDescent="0.25">
      <c r="H15" s="71"/>
      <c r="W15" s="132">
        <v>42779</v>
      </c>
      <c r="X15" s="10">
        <v>78.819999999999993</v>
      </c>
      <c r="Y15" s="10">
        <v>79.180000000000007</v>
      </c>
      <c r="Z15" s="10">
        <v>78.48</v>
      </c>
      <c r="AA15" s="10">
        <v>78.91</v>
      </c>
      <c r="AB15" s="94">
        <v>3317100</v>
      </c>
      <c r="AC15" s="10">
        <v>78.91</v>
      </c>
      <c r="AD15" s="2">
        <f t="shared" si="0"/>
        <v>0.70000000000000284</v>
      </c>
      <c r="AE15" s="137">
        <f t="shared" si="1"/>
        <v>5.4791029561671589E-3</v>
      </c>
    </row>
    <row r="16" spans="1:31" x14ac:dyDescent="0.25">
      <c r="H16" s="71"/>
      <c r="W16" s="132">
        <v>42776</v>
      </c>
      <c r="X16" s="10">
        <v>78.5</v>
      </c>
      <c r="Y16" s="10">
        <v>78.69</v>
      </c>
      <c r="Z16" s="10">
        <v>78.23</v>
      </c>
      <c r="AA16" s="10">
        <v>78.48</v>
      </c>
      <c r="AB16" s="94">
        <v>2191200</v>
      </c>
      <c r="AC16" s="10">
        <v>78.48</v>
      </c>
      <c r="AD16" s="2">
        <f t="shared" si="0"/>
        <v>0.45999999999999375</v>
      </c>
      <c r="AE16" s="137">
        <f t="shared" si="1"/>
        <v>3.8372985418264616E-3</v>
      </c>
    </row>
    <row r="17" spans="1:31" x14ac:dyDescent="0.25">
      <c r="W17" s="132">
        <v>42775</v>
      </c>
      <c r="X17" s="10">
        <v>77.8</v>
      </c>
      <c r="Y17" s="10">
        <v>78.37</v>
      </c>
      <c r="Z17" s="10">
        <v>77.67</v>
      </c>
      <c r="AA17" s="10">
        <v>78.180000000000007</v>
      </c>
      <c r="AB17" s="94">
        <v>3031800</v>
      </c>
      <c r="AC17" s="10">
        <v>78.180000000000007</v>
      </c>
      <c r="AD17" s="2">
        <f t="shared" si="0"/>
        <v>0.70000000000000284</v>
      </c>
      <c r="AE17" s="137">
        <f t="shared" si="1"/>
        <v>4.8843187660669862E-3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77.540000000000006</v>
      </c>
      <c r="Y18" s="10">
        <v>77.94</v>
      </c>
      <c r="Z18" s="10">
        <v>77.08</v>
      </c>
      <c r="AA18" s="10">
        <v>77.8</v>
      </c>
      <c r="AB18" s="94">
        <v>2223100</v>
      </c>
      <c r="AC18" s="10">
        <v>77.8</v>
      </c>
      <c r="AD18" s="2">
        <f t="shared" si="0"/>
        <v>0.85999999999999943</v>
      </c>
      <c r="AE18" s="137">
        <f t="shared" si="1"/>
        <v>1.0293360782294148E-3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78.06</v>
      </c>
      <c r="Y19" s="10">
        <v>78.38</v>
      </c>
      <c r="Z19" s="10">
        <v>77.52</v>
      </c>
      <c r="AA19" s="10">
        <v>77.72</v>
      </c>
      <c r="AB19" s="94">
        <v>2060200</v>
      </c>
      <c r="AC19" s="10">
        <v>77.72</v>
      </c>
      <c r="AD19" s="2">
        <f t="shared" si="0"/>
        <v>0.85999999999999943</v>
      </c>
      <c r="AE19" s="137">
        <f t="shared" si="1"/>
        <v>-1.2850167052170791E-3</v>
      </c>
    </row>
    <row r="20" spans="1:31" x14ac:dyDescent="0.25">
      <c r="W20" s="132">
        <v>42772</v>
      </c>
      <c r="X20" s="10">
        <v>77.72</v>
      </c>
      <c r="Y20" s="10">
        <v>78.41</v>
      </c>
      <c r="Z20" s="10">
        <v>77.48</v>
      </c>
      <c r="AA20" s="10">
        <v>77.819999999999993</v>
      </c>
      <c r="AB20" s="94">
        <v>3229500</v>
      </c>
      <c r="AC20" s="10">
        <v>77.819999999999993</v>
      </c>
      <c r="AD20" s="2">
        <f t="shared" si="0"/>
        <v>0.92999999999999261</v>
      </c>
      <c r="AE20" s="137">
        <f t="shared" si="1"/>
        <v>-2.8190671450539773E-3</v>
      </c>
    </row>
    <row r="21" spans="1:31" x14ac:dyDescent="0.25">
      <c r="W21" s="132">
        <v>42769</v>
      </c>
      <c r="X21" s="10">
        <v>77.14</v>
      </c>
      <c r="Y21" s="10">
        <v>78.42</v>
      </c>
      <c r="Z21" s="10">
        <v>76.91</v>
      </c>
      <c r="AA21" s="10">
        <v>78.040000000000006</v>
      </c>
      <c r="AB21" s="94">
        <v>5235800</v>
      </c>
      <c r="AC21" s="10">
        <v>78.040000000000006</v>
      </c>
      <c r="AD21" s="2">
        <f t="shared" si="0"/>
        <v>1.5100000000000051</v>
      </c>
      <c r="AE21" s="137">
        <f t="shared" si="1"/>
        <v>1.9997385962619241E-2</v>
      </c>
    </row>
    <row r="22" spans="1:31" x14ac:dyDescent="0.25">
      <c r="W22" s="132">
        <v>42768</v>
      </c>
      <c r="X22" s="10">
        <v>76.23</v>
      </c>
      <c r="Y22" s="10">
        <v>76.89</v>
      </c>
      <c r="Z22" s="10">
        <v>76.06</v>
      </c>
      <c r="AA22" s="10">
        <v>76.510000000000005</v>
      </c>
      <c r="AB22" s="94">
        <v>3655500</v>
      </c>
      <c r="AC22" s="10">
        <v>76.510000000000005</v>
      </c>
      <c r="AD22" s="2">
        <f t="shared" si="0"/>
        <v>0.82999999999999829</v>
      </c>
      <c r="AE22" s="137">
        <f t="shared" si="1"/>
        <v>-3.2569046378322364E-3</v>
      </c>
    </row>
    <row r="23" spans="1:31" x14ac:dyDescent="0.25">
      <c r="W23" s="132">
        <v>42767</v>
      </c>
      <c r="X23" s="10">
        <v>76.849999999999994</v>
      </c>
      <c r="Y23" s="10">
        <v>77.44</v>
      </c>
      <c r="Z23" s="10">
        <v>76.58</v>
      </c>
      <c r="AA23" s="10">
        <v>76.760000000000005</v>
      </c>
      <c r="AB23" s="94">
        <v>3916800</v>
      </c>
      <c r="AC23" s="10">
        <v>76.760000000000005</v>
      </c>
      <c r="AD23" s="2">
        <f t="shared" si="0"/>
        <v>0.85999999999999943</v>
      </c>
      <c r="AE23" s="137">
        <f t="shared" si="1"/>
        <v>4.9751243781095411E-3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76.86</v>
      </c>
      <c r="Y24" s="10">
        <v>77.25</v>
      </c>
      <c r="Z24" s="10">
        <v>75.97</v>
      </c>
      <c r="AA24" s="10">
        <v>76.38</v>
      </c>
      <c r="AB24" s="94">
        <v>5568100</v>
      </c>
      <c r="AC24" s="10">
        <v>76.38</v>
      </c>
      <c r="AD24" s="2">
        <f t="shared" si="0"/>
        <v>1.2800000000000011</v>
      </c>
      <c r="AE24" s="137">
        <f t="shared" si="1"/>
        <v>-1.1645962732919291E-2</v>
      </c>
    </row>
    <row r="25" spans="1:31" x14ac:dyDescent="0.25">
      <c r="B25" s="192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30">
        <f t="shared" ref="H25:H35" si="4">(E25-D25)/D25</f>
        <v>-2.3865944482058168E-2</v>
      </c>
      <c r="I25" s="40"/>
      <c r="W25" s="132">
        <v>42765</v>
      </c>
      <c r="X25" s="10">
        <v>76.83</v>
      </c>
      <c r="Y25" s="10">
        <v>77.319999999999993</v>
      </c>
      <c r="Z25" s="10">
        <v>76.540000000000006</v>
      </c>
      <c r="AA25" s="10">
        <v>77.28</v>
      </c>
      <c r="AB25" s="94">
        <v>5344500</v>
      </c>
      <c r="AC25" s="10">
        <v>77.28</v>
      </c>
      <c r="AD25" s="2">
        <f t="shared" si="0"/>
        <v>0.77999999999998693</v>
      </c>
      <c r="AE25" s="137">
        <f t="shared" si="1"/>
        <v>5.5953155497723284E-3</v>
      </c>
    </row>
    <row r="26" spans="1:31" x14ac:dyDescent="0.25">
      <c r="B26" s="192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30">
        <f t="shared" si="4"/>
        <v>9.3094109681788138E-3</v>
      </c>
      <c r="I26" s="40"/>
      <c r="W26" s="132">
        <v>42762</v>
      </c>
      <c r="X26" s="10">
        <v>77</v>
      </c>
      <c r="Y26" s="10">
        <v>77.3</v>
      </c>
      <c r="Z26" s="10">
        <v>76.540000000000006</v>
      </c>
      <c r="AA26" s="10">
        <v>76.849999999999994</v>
      </c>
      <c r="AB26" s="94">
        <v>3530900</v>
      </c>
      <c r="AC26" s="10">
        <v>76.849999999999994</v>
      </c>
      <c r="AD26" s="2">
        <f t="shared" si="0"/>
        <v>0.75999999999999091</v>
      </c>
      <c r="AE26" s="137">
        <f t="shared" si="1"/>
        <v>-1.0399064084234411E-3</v>
      </c>
    </row>
    <row r="27" spans="1:31" x14ac:dyDescent="0.25">
      <c r="B27" s="192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30">
        <f t="shared" si="4"/>
        <v>2.7251184834123213E-2</v>
      </c>
      <c r="I27" s="40"/>
      <c r="W27" s="132">
        <v>42761</v>
      </c>
      <c r="X27" s="10">
        <v>76.95</v>
      </c>
      <c r="Y27" s="10">
        <v>77.459999999999994</v>
      </c>
      <c r="Z27" s="10">
        <v>76.63</v>
      </c>
      <c r="AA27" s="10">
        <v>76.930000000000007</v>
      </c>
      <c r="AB27" s="94">
        <v>3344900</v>
      </c>
      <c r="AC27" s="10">
        <v>76.930000000000007</v>
      </c>
      <c r="AD27" s="2">
        <f t="shared" si="0"/>
        <v>0.82999999999999829</v>
      </c>
      <c r="AE27" s="137">
        <f t="shared" si="1"/>
        <v>5.2022369618942577E-4</v>
      </c>
    </row>
    <row r="28" spans="1:31" x14ac:dyDescent="0.25">
      <c r="B28" s="192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30">
        <f t="shared" si="4"/>
        <v>1.1848341232227537E-3</v>
      </c>
      <c r="I28" s="40"/>
      <c r="W28" s="132">
        <v>42760</v>
      </c>
      <c r="X28" s="10">
        <v>78</v>
      </c>
      <c r="Y28" s="10">
        <v>78.02</v>
      </c>
      <c r="Z28" s="10">
        <v>76.400000000000006</v>
      </c>
      <c r="AA28" s="10">
        <v>76.89</v>
      </c>
      <c r="AB28" s="94">
        <v>5278300</v>
      </c>
      <c r="AC28" s="10">
        <v>76.89</v>
      </c>
      <c r="AD28" s="2">
        <f t="shared" si="0"/>
        <v>1.6199999999999903</v>
      </c>
      <c r="AE28" s="137">
        <f t="shared" si="1"/>
        <v>-6.9740410693530652E-3</v>
      </c>
    </row>
    <row r="29" spans="1:31" x14ac:dyDescent="0.25">
      <c r="B29" s="192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30">
        <f t="shared" si="4"/>
        <v>6.7704807041299693E-3</v>
      </c>
      <c r="I29" s="40"/>
      <c r="W29" s="132">
        <v>42759</v>
      </c>
      <c r="X29" s="10">
        <v>76.33</v>
      </c>
      <c r="Y29" s="10">
        <v>77.66</v>
      </c>
      <c r="Z29" s="10">
        <v>76.09</v>
      </c>
      <c r="AA29" s="10">
        <v>77.430000000000007</v>
      </c>
      <c r="AB29" s="94">
        <v>4024300</v>
      </c>
      <c r="AC29" s="10">
        <v>77.430000000000007</v>
      </c>
      <c r="AD29" s="2">
        <f t="shared" si="0"/>
        <v>1.5699999999999932</v>
      </c>
      <c r="AE29" s="137">
        <f t="shared" si="1"/>
        <v>1.9218112412794586E-2</v>
      </c>
    </row>
    <row r="30" spans="1:31" x14ac:dyDescent="0.25">
      <c r="B30" s="192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30">
        <f t="shared" si="4"/>
        <v>8.3107650643195738E-2</v>
      </c>
      <c r="I30" s="235">
        <v>57</v>
      </c>
      <c r="W30" s="132">
        <v>42758</v>
      </c>
      <c r="X30" s="10">
        <v>75.92</v>
      </c>
      <c r="Y30" s="10">
        <v>76.48</v>
      </c>
      <c r="Z30" s="10">
        <v>75.73</v>
      </c>
      <c r="AA30" s="10">
        <v>75.97</v>
      </c>
      <c r="AB30" s="94">
        <v>4444300</v>
      </c>
      <c r="AC30" s="10">
        <v>75.97</v>
      </c>
      <c r="AD30" s="2">
        <f t="shared" si="0"/>
        <v>0.75</v>
      </c>
      <c r="AE30" s="137">
        <f t="shared" si="1"/>
        <v>-3.0183727034120977E-3</v>
      </c>
    </row>
    <row r="31" spans="1:31" x14ac:dyDescent="0.25">
      <c r="B31" s="192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30">
        <f t="shared" si="4"/>
        <v>8.5985104942450888E-2</v>
      </c>
      <c r="I31" s="40"/>
      <c r="W31" s="132">
        <v>42755</v>
      </c>
      <c r="X31" s="10">
        <v>75.989999999999995</v>
      </c>
      <c r="Y31" s="10">
        <v>76.91</v>
      </c>
      <c r="Z31" s="10">
        <v>75.39</v>
      </c>
      <c r="AA31" s="10">
        <v>76.2</v>
      </c>
      <c r="AB31" s="94">
        <v>8465900</v>
      </c>
      <c r="AC31" s="10">
        <v>76.2</v>
      </c>
      <c r="AD31" s="2">
        <f t="shared" si="0"/>
        <v>1.519999999999996</v>
      </c>
      <c r="AE31" s="137">
        <f t="shared" si="1"/>
        <v>-6.3893597600729324E-3</v>
      </c>
    </row>
    <row r="32" spans="1:31" x14ac:dyDescent="0.25">
      <c r="B32" s="192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30">
        <f t="shared" si="4"/>
        <v>9.140148950575501E-2</v>
      </c>
      <c r="I32" s="40" t="s">
        <v>253</v>
      </c>
      <c r="W32" s="132">
        <v>42754</v>
      </c>
      <c r="X32" s="10">
        <v>77.61</v>
      </c>
      <c r="Y32" s="10">
        <v>77.78</v>
      </c>
      <c r="Z32" s="10">
        <v>76.61</v>
      </c>
      <c r="AA32" s="10">
        <v>76.69</v>
      </c>
      <c r="AB32" s="94">
        <v>8111400</v>
      </c>
      <c r="AC32" s="10">
        <v>76.69</v>
      </c>
      <c r="AD32" s="2">
        <f t="shared" si="0"/>
        <v>1.1700000000000017</v>
      </c>
      <c r="AE32" s="137">
        <f t="shared" si="1"/>
        <v>-1.0323912762937093E-2</v>
      </c>
    </row>
    <row r="33" spans="2:31" x14ac:dyDescent="0.25">
      <c r="B33" s="192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30">
        <f t="shared" si="4"/>
        <v>7.3628977657413705E-2</v>
      </c>
      <c r="I33" s="40"/>
      <c r="W33" s="132">
        <v>42753</v>
      </c>
      <c r="X33" s="10">
        <v>77.11</v>
      </c>
      <c r="Y33" s="10">
        <v>77.61</v>
      </c>
      <c r="Z33" s="10">
        <v>76.510000000000005</v>
      </c>
      <c r="AA33" s="10">
        <v>77.489999999999995</v>
      </c>
      <c r="AB33" s="94">
        <v>5988400</v>
      </c>
      <c r="AC33" s="10">
        <v>77.489999999999995</v>
      </c>
      <c r="AD33" s="2">
        <f t="shared" si="0"/>
        <v>1.0999999999999943</v>
      </c>
      <c r="AE33" s="137">
        <f t="shared" si="1"/>
        <v>1.1618798955613574E-2</v>
      </c>
    </row>
    <row r="34" spans="2:31" x14ac:dyDescent="0.25">
      <c r="B34" s="192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30">
        <f t="shared" si="4"/>
        <v>8.8016249153689968E-2</v>
      </c>
      <c r="I34" s="40"/>
      <c r="W34" s="132">
        <v>42752</v>
      </c>
      <c r="X34" s="10">
        <v>77.400000000000006</v>
      </c>
      <c r="Y34" s="10">
        <v>77.7</v>
      </c>
      <c r="Z34" s="10">
        <v>76.47</v>
      </c>
      <c r="AA34" s="10">
        <v>76.599999999999994</v>
      </c>
      <c r="AB34" s="94">
        <v>6450300</v>
      </c>
      <c r="AC34" s="10">
        <v>76.599999999999994</v>
      </c>
      <c r="AD34" s="2">
        <f t="shared" si="0"/>
        <v>1.230000000000004</v>
      </c>
      <c r="AE34" s="137">
        <f t="shared" si="1"/>
        <v>-2.6102845210140835E-4</v>
      </c>
    </row>
    <row r="35" spans="2:31" x14ac:dyDescent="0.25">
      <c r="B35" s="192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30">
        <f t="shared" si="4"/>
        <v>8.8862559241706163E-2</v>
      </c>
      <c r="I35" s="40"/>
      <c r="W35" s="132">
        <v>42748</v>
      </c>
      <c r="X35" s="10">
        <v>76.930000000000007</v>
      </c>
      <c r="Y35" s="10">
        <v>77.63</v>
      </c>
      <c r="Z35" s="10">
        <v>76.41</v>
      </c>
      <c r="AA35" s="10">
        <v>76.62</v>
      </c>
      <c r="AB35" s="94">
        <v>3454300</v>
      </c>
      <c r="AC35" s="10">
        <v>76.62</v>
      </c>
      <c r="AD35" s="2">
        <f t="shared" si="0"/>
        <v>1.2199999999999989</v>
      </c>
      <c r="AE35" s="137">
        <f t="shared" si="1"/>
        <v>-3.3818938605617577E-3</v>
      </c>
    </row>
    <row r="36" spans="2:31" x14ac:dyDescent="0.25">
      <c r="B36" s="192">
        <v>42593</v>
      </c>
      <c r="C36" s="10">
        <v>0</v>
      </c>
      <c r="D36" s="40"/>
      <c r="E36" s="40"/>
      <c r="F36" s="40">
        <v>231.54</v>
      </c>
      <c r="G36" s="40"/>
      <c r="H36" s="230"/>
      <c r="I36" s="40"/>
      <c r="W36" s="132">
        <v>42747</v>
      </c>
      <c r="X36" s="10">
        <v>76.83</v>
      </c>
      <c r="Y36" s="10">
        <v>76.95</v>
      </c>
      <c r="Z36" s="10">
        <v>75.84</v>
      </c>
      <c r="AA36" s="10">
        <v>76.88</v>
      </c>
      <c r="AB36" s="94">
        <v>4056700</v>
      </c>
      <c r="AC36" s="10">
        <v>76.88</v>
      </c>
      <c r="AD36" s="2">
        <f t="shared" si="0"/>
        <v>1.1099999999999994</v>
      </c>
      <c r="AE36" s="137">
        <f t="shared" si="1"/>
        <v>-3.9006631127291858E-4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42746</v>
      </c>
      <c r="X37" s="10">
        <v>76.67</v>
      </c>
      <c r="Y37" s="10">
        <v>77.44</v>
      </c>
      <c r="Z37" s="10">
        <v>76.099999999999994</v>
      </c>
      <c r="AA37" s="10">
        <v>76.91</v>
      </c>
      <c r="AB37" s="94">
        <v>4500200</v>
      </c>
      <c r="AC37" s="10">
        <v>76.91</v>
      </c>
      <c r="AD37" s="2">
        <f t="shared" si="0"/>
        <v>1.3400000000000034</v>
      </c>
      <c r="AE37" s="137">
        <f t="shared" si="1"/>
        <v>3.392041748206065E-3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42745</v>
      </c>
      <c r="X38" s="10">
        <v>76.52</v>
      </c>
      <c r="Y38" s="10">
        <v>78</v>
      </c>
      <c r="Z38" s="10">
        <v>76.12</v>
      </c>
      <c r="AA38" s="10">
        <v>76.650000000000006</v>
      </c>
      <c r="AB38" s="94">
        <v>9561400</v>
      </c>
      <c r="AC38" s="10">
        <v>76.650000000000006</v>
      </c>
      <c r="AD38" s="2">
        <f t="shared" si="0"/>
        <v>1.8799999999999955</v>
      </c>
      <c r="AE38" s="137">
        <f t="shared" si="1"/>
        <v>1.0413920379646724E-2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76.14</v>
      </c>
      <c r="Y39" s="10">
        <v>76.5</v>
      </c>
      <c r="Z39" s="10">
        <v>75.53</v>
      </c>
      <c r="AA39" s="10">
        <v>75.86</v>
      </c>
      <c r="AB39" s="94">
        <v>4800900</v>
      </c>
      <c r="AC39" s="10">
        <v>75.86</v>
      </c>
      <c r="AD39" s="2">
        <f t="shared" si="0"/>
        <v>0.96999999999999886</v>
      </c>
      <c r="AE39" s="137">
        <f t="shared" si="1"/>
        <v>5.1676162713660823E-3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42741</v>
      </c>
      <c r="X40" s="10">
        <v>75.400000000000006</v>
      </c>
      <c r="Y40" s="10">
        <v>75.92</v>
      </c>
      <c r="Z40" s="10">
        <v>75.06</v>
      </c>
      <c r="AA40" s="10">
        <v>75.47</v>
      </c>
      <c r="AB40" s="94">
        <v>3089600</v>
      </c>
      <c r="AC40" s="10">
        <v>75.47</v>
      </c>
      <c r="AD40" s="2">
        <f t="shared" si="0"/>
        <v>0.85999999999999943</v>
      </c>
      <c r="AE40" s="137">
        <f t="shared" si="1"/>
        <v>1.9915029208710244E-3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87.317999999999998</v>
      </c>
      <c r="Q41" s="2"/>
      <c r="W41" s="132">
        <v>42740</v>
      </c>
      <c r="X41" s="10">
        <v>76</v>
      </c>
      <c r="Y41" s="10">
        <v>76.180000000000007</v>
      </c>
      <c r="Z41" s="10">
        <v>74.819999999999993</v>
      </c>
      <c r="AA41" s="10">
        <v>75.319999999999993</v>
      </c>
      <c r="AB41" s="94">
        <v>3383000</v>
      </c>
      <c r="AC41" s="10">
        <v>75.319999999999993</v>
      </c>
      <c r="AD41" s="2">
        <f t="shared" si="0"/>
        <v>1.3600000000000136</v>
      </c>
      <c r="AE41" s="137">
        <f t="shared" si="1"/>
        <v>-1.2326252294781126E-2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86.524200000000008</v>
      </c>
      <c r="Q42" s="2"/>
      <c r="T42" s="90" t="s">
        <v>113</v>
      </c>
      <c r="W42" s="132">
        <v>42739</v>
      </c>
      <c r="X42" s="10">
        <v>75.260000000000005</v>
      </c>
      <c r="Y42" s="10">
        <v>76.55</v>
      </c>
      <c r="Z42" s="10">
        <v>75.06</v>
      </c>
      <c r="AA42" s="10">
        <v>76.260000000000005</v>
      </c>
      <c r="AB42" s="94">
        <v>4635800</v>
      </c>
      <c r="AC42" s="10">
        <v>76.260000000000005</v>
      </c>
      <c r="AD42" s="2">
        <f t="shared" si="0"/>
        <v>1.4899999999999949</v>
      </c>
      <c r="AE42" s="137" t="e">
        <f t="shared" si="1"/>
        <v>#DIV/0!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85.730400000000003</v>
      </c>
      <c r="Q43" s="2"/>
      <c r="T43" s="127" t="s">
        <v>98</v>
      </c>
      <c r="U43" s="128">
        <v>80.099999999999994</v>
      </c>
      <c r="W43" s="132">
        <v>42739</v>
      </c>
      <c r="X43" s="10" t="s">
        <v>305</v>
      </c>
      <c r="Y43" s="10"/>
      <c r="Z43" s="10"/>
      <c r="AA43" s="10"/>
      <c r="AB43" s="94"/>
      <c r="AC43" s="10"/>
      <c r="AD43" s="2">
        <f t="shared" si="0"/>
        <v>0</v>
      </c>
      <c r="AE43" s="137">
        <f t="shared" si="1"/>
        <v>-1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84.936599999999999</v>
      </c>
      <c r="Q44" s="2"/>
      <c r="T44" s="92" t="s">
        <v>99</v>
      </c>
      <c r="U44" s="129">
        <v>80.27</v>
      </c>
      <c r="W44" s="132">
        <v>42738</v>
      </c>
      <c r="X44" s="10">
        <v>74.89</v>
      </c>
      <c r="Y44" s="10">
        <v>75.75</v>
      </c>
      <c r="Z44" s="10">
        <v>74.739999999999995</v>
      </c>
      <c r="AA44" s="10">
        <v>75.349999999999994</v>
      </c>
      <c r="AB44" s="94">
        <v>5853900</v>
      </c>
      <c r="AC44" s="10">
        <v>75.03</v>
      </c>
      <c r="AD44" s="2">
        <f t="shared" si="0"/>
        <v>1.0100000000000051</v>
      </c>
      <c r="AE44" s="137">
        <f t="shared" si="1"/>
        <v>1.7080113867425917E-2</v>
      </c>
    </row>
    <row r="45" spans="2:31" x14ac:dyDescent="0.25">
      <c r="O45" s="82">
        <v>1.06</v>
      </c>
      <c r="P45" s="82">
        <f t="shared" si="5"/>
        <v>84.142799999999994</v>
      </c>
      <c r="Q45" s="2"/>
      <c r="T45" s="92" t="s">
        <v>100</v>
      </c>
      <c r="U45" s="129" t="s">
        <v>129</v>
      </c>
      <c r="W45" s="132">
        <v>42734</v>
      </c>
      <c r="X45" s="10">
        <v>73.959999999999994</v>
      </c>
      <c r="Y45" s="10">
        <v>74.34</v>
      </c>
      <c r="Z45" s="10">
        <v>73.84</v>
      </c>
      <c r="AA45" s="10">
        <v>74.08</v>
      </c>
      <c r="AB45" s="94">
        <v>3378800</v>
      </c>
      <c r="AC45" s="10">
        <v>73.77</v>
      </c>
      <c r="AD45" s="2">
        <f t="shared" si="0"/>
        <v>0.5</v>
      </c>
      <c r="AE45" s="137">
        <f t="shared" si="1"/>
        <v>2.173617714984255E-3</v>
      </c>
    </row>
    <row r="46" spans="2:31" x14ac:dyDescent="0.25">
      <c r="O46" s="82">
        <v>1.05</v>
      </c>
      <c r="P46" s="82">
        <f t="shared" si="5"/>
        <v>83.349000000000004</v>
      </c>
      <c r="Q46" s="2"/>
      <c r="T46" s="92" t="s">
        <v>101</v>
      </c>
      <c r="U46" s="129" t="s">
        <v>129</v>
      </c>
      <c r="W46" s="132">
        <v>42733</v>
      </c>
      <c r="X46" s="10">
        <v>74.27</v>
      </c>
      <c r="Y46" s="10">
        <v>74.680000000000007</v>
      </c>
      <c r="Z46" s="10">
        <v>73.5</v>
      </c>
      <c r="AA46" s="10">
        <v>73.92</v>
      </c>
      <c r="AB46" s="94">
        <v>2573700</v>
      </c>
      <c r="AC46" s="10">
        <v>73.61</v>
      </c>
      <c r="AD46" s="2">
        <f t="shared" si="0"/>
        <v>1.1800000000000068</v>
      </c>
      <c r="AE46" s="137">
        <f t="shared" si="1"/>
        <v>-5.9419311276164288E-3</v>
      </c>
    </row>
    <row r="47" spans="2:31" x14ac:dyDescent="0.25">
      <c r="O47" s="82">
        <v>1.04</v>
      </c>
      <c r="P47" s="82">
        <f t="shared" si="5"/>
        <v>82.555199999999999</v>
      </c>
      <c r="Q47" s="2"/>
      <c r="T47" s="92" t="s">
        <v>102</v>
      </c>
      <c r="U47" s="129">
        <v>81</v>
      </c>
      <c r="W47" s="132">
        <v>42732</v>
      </c>
      <c r="X47" s="10">
        <v>75.03</v>
      </c>
      <c r="Y47" s="10">
        <v>75.38</v>
      </c>
      <c r="Z47" s="10">
        <v>74.150000000000006</v>
      </c>
      <c r="AA47" s="10">
        <v>74.37</v>
      </c>
      <c r="AB47" s="94">
        <v>2517300</v>
      </c>
      <c r="AC47" s="10">
        <v>74.05</v>
      </c>
      <c r="AD47" s="2">
        <f t="shared" si="0"/>
        <v>1.2299999999999898</v>
      </c>
      <c r="AE47" s="137">
        <f t="shared" si="1"/>
        <v>-8.1703723546745488E-3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81.761399999999995</v>
      </c>
      <c r="Q48" s="2"/>
      <c r="T48" s="92" t="s">
        <v>103</v>
      </c>
      <c r="U48" s="129">
        <v>1.1641999999999999</v>
      </c>
      <c r="W48" s="132">
        <v>42731</v>
      </c>
      <c r="X48" s="10">
        <v>75.099999999999994</v>
      </c>
      <c r="Y48" s="10">
        <v>75.11</v>
      </c>
      <c r="Z48" s="10">
        <v>74.790000000000006</v>
      </c>
      <c r="AA48" s="10">
        <v>74.98</v>
      </c>
      <c r="AB48" s="94">
        <v>2049400</v>
      </c>
      <c r="AC48" s="10">
        <v>74.66</v>
      </c>
      <c r="AD48" s="2">
        <f t="shared" si="0"/>
        <v>0.31999999999999318</v>
      </c>
      <c r="AE48" s="137">
        <f t="shared" si="1"/>
        <v>1.3395847287323015E-4</v>
      </c>
    </row>
    <row r="49" spans="1:31" x14ac:dyDescent="0.25">
      <c r="A49" s="384" t="s">
        <v>1</v>
      </c>
      <c r="B49" s="384" t="s">
        <v>2</v>
      </c>
      <c r="C49" s="384" t="s">
        <v>4</v>
      </c>
      <c r="D49" s="386" t="s">
        <v>5</v>
      </c>
      <c r="E49" s="386" t="s">
        <v>94</v>
      </c>
      <c r="F49" s="386" t="s">
        <v>60</v>
      </c>
      <c r="G49" s="384" t="s">
        <v>3</v>
      </c>
      <c r="H49" s="384" t="s">
        <v>6</v>
      </c>
      <c r="I49" s="386" t="s">
        <v>7</v>
      </c>
      <c r="J49" s="386" t="s">
        <v>95</v>
      </c>
      <c r="K49" s="386" t="s">
        <v>61</v>
      </c>
      <c r="L49" s="384" t="s">
        <v>37</v>
      </c>
      <c r="M49" s="384" t="s">
        <v>38</v>
      </c>
      <c r="O49" s="82">
        <v>1.02</v>
      </c>
      <c r="P49" s="82">
        <f t="shared" si="5"/>
        <v>80.96759999999999</v>
      </c>
      <c r="Q49" s="2"/>
      <c r="T49" s="92" t="s">
        <v>122</v>
      </c>
      <c r="U49" s="129" t="s">
        <v>382</v>
      </c>
      <c r="W49" s="132">
        <v>42727</v>
      </c>
      <c r="X49" s="10">
        <v>74.739999999999995</v>
      </c>
      <c r="Y49" s="10">
        <v>75.239999999999995</v>
      </c>
      <c r="Z49" s="10">
        <v>74.739999999999995</v>
      </c>
      <c r="AA49" s="10">
        <v>74.97</v>
      </c>
      <c r="AB49" s="94">
        <v>1957500</v>
      </c>
      <c r="AC49" s="10">
        <v>74.650000000000006</v>
      </c>
      <c r="AD49" s="2">
        <f t="shared" si="0"/>
        <v>0.5</v>
      </c>
      <c r="AE49" s="137">
        <f t="shared" si="1"/>
        <v>5.2518179369782647E-3</v>
      </c>
    </row>
    <row r="50" spans="1:31" x14ac:dyDescent="0.25">
      <c r="A50" s="387" t="s">
        <v>231</v>
      </c>
      <c r="B50" s="377">
        <v>42548</v>
      </c>
      <c r="C50" s="378">
        <v>40</v>
      </c>
      <c r="D50" s="379">
        <v>59.08</v>
      </c>
      <c r="E50" s="379">
        <v>0</v>
      </c>
      <c r="F50" s="379">
        <f>D50*C50+E50</f>
        <v>2363.1999999999998</v>
      </c>
      <c r="G50" s="377">
        <v>42580</v>
      </c>
      <c r="H50" s="382">
        <v>40</v>
      </c>
      <c r="I50" s="379">
        <v>64.58</v>
      </c>
      <c r="J50" s="379">
        <v>0.06</v>
      </c>
      <c r="K50" s="379">
        <f>I50*H50-J50</f>
        <v>2583.14</v>
      </c>
      <c r="L50" s="377">
        <v>42592</v>
      </c>
      <c r="M50" s="378">
        <v>11.6</v>
      </c>
      <c r="O50" s="82">
        <v>1.01</v>
      </c>
      <c r="P50" s="82">
        <f t="shared" si="5"/>
        <v>80.1738</v>
      </c>
      <c r="Q50" s="2"/>
      <c r="T50" s="92"/>
      <c r="U50" s="129"/>
      <c r="W50" s="132">
        <v>42726</v>
      </c>
      <c r="X50" s="10">
        <v>75</v>
      </c>
      <c r="Y50" s="10">
        <v>75.37</v>
      </c>
      <c r="Z50" s="10">
        <v>74.5</v>
      </c>
      <c r="AA50" s="10">
        <v>74.58</v>
      </c>
      <c r="AB50" s="94">
        <v>2865200</v>
      </c>
      <c r="AC50" s="10">
        <v>74.260000000000005</v>
      </c>
      <c r="AD50" s="2">
        <f t="shared" si="0"/>
        <v>0.87000000000000455</v>
      </c>
      <c r="AE50" s="137">
        <f t="shared" si="1"/>
        <v>-9.8666666666665792E-3</v>
      </c>
    </row>
    <row r="51" spans="1:31" x14ac:dyDescent="0.25">
      <c r="A51" s="388" t="s">
        <v>71</v>
      </c>
      <c r="B51" s="377"/>
      <c r="C51" s="378"/>
      <c r="D51" s="379"/>
      <c r="E51" s="379"/>
      <c r="F51" s="379"/>
      <c r="G51" s="378"/>
      <c r="H51" s="382"/>
      <c r="I51" s="379"/>
      <c r="J51" s="379"/>
      <c r="K51" s="379"/>
      <c r="L51" s="378"/>
      <c r="M51" s="378"/>
      <c r="O51" s="82">
        <v>1</v>
      </c>
      <c r="P51" s="82">
        <f t="shared" si="5"/>
        <v>79.38</v>
      </c>
      <c r="Q51" s="2"/>
      <c r="T51" s="92" t="s">
        <v>105</v>
      </c>
      <c r="U51" s="129" t="s">
        <v>600</v>
      </c>
      <c r="W51" s="132">
        <v>42725</v>
      </c>
      <c r="X51" s="10">
        <v>75.11</v>
      </c>
      <c r="Y51" s="10">
        <v>75.569999999999993</v>
      </c>
      <c r="Z51" s="10">
        <v>74.69</v>
      </c>
      <c r="AA51" s="10">
        <v>75.319999999999993</v>
      </c>
      <c r="AB51" s="94">
        <v>3244500</v>
      </c>
      <c r="AC51" s="10">
        <v>75</v>
      </c>
      <c r="AD51" s="2">
        <f t="shared" si="0"/>
        <v>0.87999999999999545</v>
      </c>
      <c r="AE51" s="137">
        <f t="shared" si="1"/>
        <v>3.4787262510036498E-3</v>
      </c>
    </row>
    <row r="52" spans="1:31" x14ac:dyDescent="0.25">
      <c r="A52" s="378"/>
      <c r="B52" s="377"/>
      <c r="C52" s="378"/>
      <c r="D52" s="379"/>
      <c r="E52" s="379"/>
      <c r="F52" s="379"/>
      <c r="G52" s="378"/>
      <c r="H52" s="382"/>
      <c r="I52" s="379"/>
      <c r="J52" s="379"/>
      <c r="K52" s="379"/>
      <c r="L52" s="378"/>
      <c r="M52" s="378"/>
      <c r="O52" s="82">
        <v>0.99</v>
      </c>
      <c r="P52" s="82">
        <f t="shared" si="5"/>
        <v>78.586199999999991</v>
      </c>
      <c r="Q52" s="2"/>
      <c r="T52" s="92" t="s">
        <v>106</v>
      </c>
      <c r="U52" s="129" t="s">
        <v>551</v>
      </c>
      <c r="W52" s="132">
        <v>42724</v>
      </c>
      <c r="X52" s="10">
        <v>75</v>
      </c>
      <c r="Y52" s="10">
        <v>75.5</v>
      </c>
      <c r="Z52" s="10">
        <v>74.53</v>
      </c>
      <c r="AA52" s="10">
        <v>75.06</v>
      </c>
      <c r="AB52" s="94">
        <v>3244900</v>
      </c>
      <c r="AC52" s="10">
        <v>74.739999999999995</v>
      </c>
      <c r="AD52" s="2">
        <f t="shared" si="0"/>
        <v>0.96999999999999886</v>
      </c>
      <c r="AE52" s="137">
        <f t="shared" si="1"/>
        <v>6.8705375185234008E-3</v>
      </c>
    </row>
    <row r="53" spans="1:31" x14ac:dyDescent="0.25">
      <c r="A53" s="378"/>
      <c r="B53" s="377"/>
      <c r="C53" s="378"/>
      <c r="D53" s="379"/>
      <c r="E53" s="379"/>
      <c r="F53" s="379"/>
      <c r="G53" s="378"/>
      <c r="H53" s="382"/>
      <c r="I53" s="379"/>
      <c r="J53" s="379"/>
      <c r="K53" s="379"/>
      <c r="L53" s="378"/>
      <c r="M53" s="378"/>
      <c r="O53" s="82">
        <v>0.98</v>
      </c>
      <c r="P53" s="82">
        <f t="shared" si="5"/>
        <v>77.792400000000001</v>
      </c>
      <c r="Q53" s="2"/>
      <c r="T53" s="92" t="s">
        <v>107</v>
      </c>
      <c r="U53" s="130">
        <v>4597534</v>
      </c>
      <c r="W53" s="132">
        <v>42723</v>
      </c>
      <c r="X53" s="10">
        <v>74.680000000000007</v>
      </c>
      <c r="Y53" s="10">
        <v>75.13</v>
      </c>
      <c r="Z53" s="10">
        <v>74.14</v>
      </c>
      <c r="AA53" s="10">
        <v>74.55</v>
      </c>
      <c r="AB53" s="94">
        <v>3076600</v>
      </c>
      <c r="AC53" s="10">
        <v>74.23</v>
      </c>
      <c r="AD53" s="2">
        <f t="shared" si="0"/>
        <v>0.98999999999999488</v>
      </c>
      <c r="AE53" s="137">
        <f t="shared" si="1"/>
        <v>-6.0257096946974009E-3</v>
      </c>
    </row>
    <row r="54" spans="1:31" x14ac:dyDescent="0.25">
      <c r="A54" s="378"/>
      <c r="B54" s="377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5"/>
        <v>76.998599999999996</v>
      </c>
      <c r="T54" s="92" t="s">
        <v>110</v>
      </c>
      <c r="U54" s="130">
        <v>4133290</v>
      </c>
      <c r="W54" s="132">
        <v>42720</v>
      </c>
      <c r="X54" s="10">
        <v>75.290000000000006</v>
      </c>
      <c r="Y54" s="10">
        <v>75.38</v>
      </c>
      <c r="Z54" s="10">
        <v>74.58</v>
      </c>
      <c r="AA54" s="10">
        <v>75</v>
      </c>
      <c r="AB54" s="94">
        <v>8200600</v>
      </c>
      <c r="AC54" s="10">
        <v>74.680000000000007</v>
      </c>
      <c r="AD54" s="2">
        <f t="shared" si="0"/>
        <v>0.79999999999999716</v>
      </c>
      <c r="AE54" s="137">
        <f t="shared" si="1"/>
        <v>8.0407397480564136E-4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5"/>
        <v>76.204799999999992</v>
      </c>
      <c r="T55" s="92" t="s">
        <v>108</v>
      </c>
      <c r="U55" s="129" t="s">
        <v>601</v>
      </c>
      <c r="W55" s="132">
        <v>42719</v>
      </c>
      <c r="X55" s="10">
        <v>74.540000000000006</v>
      </c>
      <c r="Y55" s="10">
        <v>75.739999999999995</v>
      </c>
      <c r="Z55" s="10">
        <v>74.34</v>
      </c>
      <c r="AA55" s="10">
        <v>74.94</v>
      </c>
      <c r="AB55" s="94">
        <v>4061600</v>
      </c>
      <c r="AC55" s="10">
        <v>74.62</v>
      </c>
      <c r="AD55" s="2">
        <f t="shared" si="0"/>
        <v>1.3999999999999915</v>
      </c>
      <c r="AE55" s="137">
        <f t="shared" si="1"/>
        <v>1.1659436008676805E-2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5"/>
        <v>75.410999999999987</v>
      </c>
      <c r="T56" s="92" t="s">
        <v>111</v>
      </c>
      <c r="U56" s="129">
        <v>14.14</v>
      </c>
      <c r="W56" s="132">
        <v>42718</v>
      </c>
      <c r="X56" s="10">
        <v>73.53</v>
      </c>
      <c r="Y56" s="10">
        <v>75.73</v>
      </c>
      <c r="Z56" s="10">
        <v>73.239999999999995</v>
      </c>
      <c r="AA56" s="10">
        <v>74.069999999999993</v>
      </c>
      <c r="AB56" s="94">
        <v>5415800</v>
      </c>
      <c r="AC56" s="10">
        <v>73.760000000000005</v>
      </c>
      <c r="AD56" s="2">
        <f t="shared" si="0"/>
        <v>2.4900000000000091</v>
      </c>
      <c r="AE56" s="137">
        <f t="shared" si="1"/>
        <v>3.1279749762003206E-3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5"/>
        <v>74.617199999999997</v>
      </c>
      <c r="T57" s="92" t="s">
        <v>112</v>
      </c>
      <c r="U57" s="129">
        <v>5.65</v>
      </c>
      <c r="W57" s="132">
        <v>42717</v>
      </c>
      <c r="X57" s="10">
        <v>73.67</v>
      </c>
      <c r="Y57" s="10">
        <v>74.23</v>
      </c>
      <c r="Z57" s="10">
        <v>73.11</v>
      </c>
      <c r="AA57" s="10">
        <v>73.84</v>
      </c>
      <c r="AB57" s="94">
        <v>2892900</v>
      </c>
      <c r="AC57" s="10">
        <v>73.53</v>
      </c>
      <c r="AD57" s="2">
        <f t="shared" si="0"/>
        <v>1.1200000000000045</v>
      </c>
      <c r="AE57" s="137">
        <f t="shared" si="1"/>
        <v>3.5485191756516876E-3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5"/>
        <v>73.823400000000007</v>
      </c>
      <c r="T58" s="92" t="s">
        <v>109</v>
      </c>
      <c r="U58" s="129" t="s">
        <v>511</v>
      </c>
      <c r="W58" s="132">
        <v>42716</v>
      </c>
      <c r="X58" s="10">
        <v>74.7</v>
      </c>
      <c r="Y58" s="10">
        <v>74.7</v>
      </c>
      <c r="Z58" s="10">
        <v>73.150000000000006</v>
      </c>
      <c r="AA58" s="10">
        <v>73.58</v>
      </c>
      <c r="AB58" s="94">
        <v>3654900</v>
      </c>
      <c r="AC58" s="10">
        <v>73.27</v>
      </c>
      <c r="AD58" s="2">
        <f t="shared" si="0"/>
        <v>1.5499999999999972</v>
      </c>
      <c r="AE58" s="137">
        <f t="shared" si="1"/>
        <v>-1.5849563465413108E-2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5"/>
        <v>73.029600000000002</v>
      </c>
      <c r="W59" s="132">
        <v>42713</v>
      </c>
      <c r="X59" s="10">
        <v>74.84</v>
      </c>
      <c r="Y59" s="10">
        <v>74.91</v>
      </c>
      <c r="Z59" s="10">
        <v>74.290000000000006</v>
      </c>
      <c r="AA59" s="10">
        <v>74.77</v>
      </c>
      <c r="AB59" s="94">
        <v>2566900</v>
      </c>
      <c r="AC59" s="10">
        <v>74.45</v>
      </c>
      <c r="AD59" s="2">
        <f t="shared" si="0"/>
        <v>0.61999999999999034</v>
      </c>
      <c r="AE59" s="137">
        <f t="shared" si="1"/>
        <v>-1.8769272020378036E-3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5"/>
        <v>72.235799999999998</v>
      </c>
      <c r="W60" s="132">
        <v>42712</v>
      </c>
      <c r="X60" s="10">
        <v>74.8</v>
      </c>
      <c r="Y60" s="10">
        <v>75.2</v>
      </c>
      <c r="Z60" s="10">
        <v>73.989999999999995</v>
      </c>
      <c r="AA60" s="10">
        <v>74.91</v>
      </c>
      <c r="AB60" s="94">
        <v>3415800</v>
      </c>
      <c r="AC60" s="10">
        <v>74.59</v>
      </c>
      <c r="AD60" s="2">
        <f t="shared" si="0"/>
        <v>1.210000000000008</v>
      </c>
      <c r="AE60" s="137">
        <f t="shared" si="1"/>
        <v>8.3817763958362601E-3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5"/>
        <v>71.441999999999993</v>
      </c>
      <c r="W61" s="132">
        <v>42711</v>
      </c>
      <c r="X61" s="10">
        <v>72.47</v>
      </c>
      <c r="Y61" s="10">
        <v>74.72</v>
      </c>
      <c r="Z61" s="10">
        <v>72.23</v>
      </c>
      <c r="AA61" s="10">
        <v>74.290000000000006</v>
      </c>
      <c r="AB61" s="94">
        <v>5801500</v>
      </c>
      <c r="AC61" s="10">
        <v>73.97</v>
      </c>
      <c r="AD61" s="2">
        <f t="shared" si="0"/>
        <v>2.4899999999999949</v>
      </c>
      <c r="AE61" s="137">
        <f t="shared" si="1"/>
        <v>2.7361111111111169E-2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42710</v>
      </c>
      <c r="X62" s="10">
        <v>72.47</v>
      </c>
      <c r="Y62" s="10">
        <v>72.739999999999995</v>
      </c>
      <c r="Z62" s="10">
        <v>72.08</v>
      </c>
      <c r="AA62" s="10">
        <v>72.31</v>
      </c>
      <c r="AB62" s="94">
        <v>3843900</v>
      </c>
      <c r="AC62" s="10">
        <v>72</v>
      </c>
      <c r="AD62" s="2">
        <f t="shared" si="0"/>
        <v>0.65999999999999659</v>
      </c>
      <c r="AE62" s="137">
        <f t="shared" si="1"/>
        <v>3.9040713887339429E-3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42709</v>
      </c>
      <c r="X63" s="10">
        <v>72.33</v>
      </c>
      <c r="Y63" s="10">
        <v>72.64</v>
      </c>
      <c r="Z63" s="10">
        <v>71.989999999999995</v>
      </c>
      <c r="AA63" s="10">
        <v>72.03</v>
      </c>
      <c r="AB63" s="94">
        <v>3929100</v>
      </c>
      <c r="AC63" s="10">
        <v>71.72</v>
      </c>
      <c r="AD63" s="2">
        <f t="shared" si="0"/>
        <v>0.65000000000000568</v>
      </c>
      <c r="AE63" s="137">
        <f t="shared" si="1"/>
        <v>2.3759608665270271E-3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42706</v>
      </c>
      <c r="X64" s="10">
        <v>72.52</v>
      </c>
      <c r="Y64" s="10">
        <v>72.66</v>
      </c>
      <c r="Z64" s="10">
        <v>71.430000000000007</v>
      </c>
      <c r="AA64" s="10">
        <v>71.86</v>
      </c>
      <c r="AB64" s="94">
        <v>2959100</v>
      </c>
      <c r="AC64" s="10">
        <v>71.55</v>
      </c>
      <c r="AD64" s="2">
        <f t="shared" si="0"/>
        <v>1.2299999999999898</v>
      </c>
      <c r="AE64" s="137">
        <f t="shared" si="1"/>
        <v>-9.2772085294932083E-3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9"/>
      <c r="J65" s="379"/>
      <c r="K65" s="379"/>
      <c r="L65" s="378"/>
      <c r="M65" s="378"/>
      <c r="W65" s="132">
        <v>42705</v>
      </c>
      <c r="X65" s="10">
        <v>72.45</v>
      </c>
      <c r="Y65" s="10">
        <v>72.77</v>
      </c>
      <c r="Z65" s="10">
        <v>71.78</v>
      </c>
      <c r="AA65" s="10">
        <v>72.53</v>
      </c>
      <c r="AB65" s="94">
        <v>4298200</v>
      </c>
      <c r="AC65" s="10">
        <v>72.22</v>
      </c>
      <c r="AD65" s="2">
        <f t="shared" si="0"/>
        <v>0.98999999999999488</v>
      </c>
      <c r="AE65" s="137">
        <f t="shared" si="1"/>
        <v>6.8311724522513995E-3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42704</v>
      </c>
      <c r="X66" s="10">
        <v>72</v>
      </c>
      <c r="Y66" s="10">
        <v>72.33</v>
      </c>
      <c r="Z66" s="10">
        <v>71.78</v>
      </c>
      <c r="AA66" s="10">
        <v>72.040000000000006</v>
      </c>
      <c r="AB66" s="94">
        <v>4812500</v>
      </c>
      <c r="AC66" s="10">
        <v>71.73</v>
      </c>
      <c r="AD66" s="2">
        <f t="shared" si="0"/>
        <v>0.54999999999999716</v>
      </c>
      <c r="AE66" s="137">
        <f t="shared" si="1"/>
        <v>7.5853350189634128E-3</v>
      </c>
    </row>
    <row r="67" spans="1:31" ht="15.75" thickBot="1" x14ac:dyDescent="0.3">
      <c r="A67" s="467" t="s">
        <v>197</v>
      </c>
      <c r="B67" s="468"/>
      <c r="C67" s="469">
        <f>SumByColor($A$19,C50:C65)</f>
        <v>0</v>
      </c>
      <c r="D67" s="469"/>
      <c r="E67" s="469"/>
      <c r="F67" s="470">
        <f>SumByColor($A$19,F50:F65)</f>
        <v>0</v>
      </c>
      <c r="G67" s="469"/>
      <c r="H67" s="469">
        <f>SumByColor($A$19,H50:H65)</f>
        <v>0</v>
      </c>
      <c r="I67" s="469"/>
      <c r="J67" s="469"/>
      <c r="K67" s="470">
        <f>SumByColor($A$19,K50:K65)</f>
        <v>0</v>
      </c>
      <c r="L67" s="469"/>
      <c r="M67" s="470">
        <f>SumByColor($A$19,M50:M65)</f>
        <v>0</v>
      </c>
      <c r="W67" s="132">
        <v>42703</v>
      </c>
      <c r="X67" s="10">
        <v>72.2</v>
      </c>
      <c r="Y67" s="10">
        <v>72.260000000000005</v>
      </c>
      <c r="Z67" s="10">
        <v>71.39</v>
      </c>
      <c r="AA67" s="10">
        <v>71.489999999999995</v>
      </c>
      <c r="AB67" s="94">
        <v>3814800</v>
      </c>
      <c r="AC67" s="10">
        <v>71.19</v>
      </c>
      <c r="AD67" s="2">
        <f>Y67-Z67</f>
        <v>0.87000000000000455</v>
      </c>
      <c r="AE67" s="137" t="e">
        <f>AC67/#REF!-1</f>
        <v>#REF!</v>
      </c>
    </row>
    <row r="68" spans="1:31" x14ac:dyDescent="0.25">
      <c r="W68" s="132">
        <v>42702</v>
      </c>
      <c r="X68" s="10">
        <v>72.53</v>
      </c>
      <c r="Y68" s="10">
        <v>72.77</v>
      </c>
      <c r="Z68" s="10">
        <v>71.97</v>
      </c>
      <c r="AA68" s="10">
        <v>72.13</v>
      </c>
      <c r="AB68" s="94">
        <v>4467700</v>
      </c>
      <c r="AC68" s="10">
        <v>71.819999999999993</v>
      </c>
      <c r="AD68" s="2" t="e">
        <f>#REF!-#REF!</f>
        <v>#REF!</v>
      </c>
      <c r="AE68" s="137" t="e">
        <f>#REF!/AC69-1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101" priority="9">
      <formula>F36&gt;0</formula>
    </cfRule>
    <cfRule type="expression" dxfId="1100" priority="10">
      <formula>F36&lt;0</formula>
    </cfRule>
  </conditionalFormatting>
  <conditionalFormatting sqref="F25:F35">
    <cfRule type="expression" dxfId="1099" priority="7">
      <formula>F25&gt;0</formula>
    </cfRule>
    <cfRule type="expression" dxfId="1098" priority="8">
      <formula>F25&lt;0</formula>
    </cfRule>
  </conditionalFormatting>
  <conditionalFormatting sqref="H25:H35">
    <cfRule type="expression" dxfId="1097" priority="5">
      <formula>H25&gt;0</formula>
    </cfRule>
    <cfRule type="expression" dxfId="1096" priority="6">
      <formula>H25&lt;0</formula>
    </cfRule>
  </conditionalFormatting>
  <conditionalFormatting sqref="Q7">
    <cfRule type="expression" dxfId="1095" priority="3">
      <formula>Q7&gt;0</formula>
    </cfRule>
    <cfRule type="expression" dxfId="1094" priority="4">
      <formula>Q7&lt;0</formula>
    </cfRule>
  </conditionalFormatting>
  <conditionalFormatting sqref="Q8">
    <cfRule type="expression" dxfId="1093" priority="1">
      <formula>Q8&gt;0</formula>
    </cfRule>
    <cfRule type="expression" dxfId="109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277</v>
      </c>
      <c r="B2" s="498">
        <v>42794</v>
      </c>
      <c r="C2" s="4">
        <v>50</v>
      </c>
      <c r="D2" s="3">
        <v>72.58</v>
      </c>
      <c r="E2" s="3">
        <v>0</v>
      </c>
      <c r="F2" s="3">
        <f>C2*D2+E2</f>
        <v>3629</v>
      </c>
      <c r="G2" s="1"/>
      <c r="H2" s="184"/>
      <c r="K2" s="3"/>
      <c r="L2" s="73"/>
      <c r="M2" s="3"/>
      <c r="O2" s="11" t="s">
        <v>57</v>
      </c>
      <c r="Q2">
        <f>C18-H18</f>
        <v>50</v>
      </c>
      <c r="T2" s="1"/>
      <c r="W2" s="132">
        <v>42797</v>
      </c>
      <c r="X2" s="10">
        <v>73.48</v>
      </c>
      <c r="Y2" s="10">
        <v>73.959999999999994</v>
      </c>
      <c r="Z2" s="10">
        <v>72.739999999999995</v>
      </c>
      <c r="AA2" s="10">
        <v>73.12</v>
      </c>
      <c r="AB2" s="94">
        <v>3040000</v>
      </c>
      <c r="AC2" s="10">
        <v>73.12</v>
      </c>
      <c r="AD2" s="2">
        <f>Y2-Z2</f>
        <v>1.2199999999999989</v>
      </c>
      <c r="AE2" s="137">
        <f>AC2/AC3-1</f>
        <v>-1.2825705413797572E-2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72.58</v>
      </c>
      <c r="T3" s="1"/>
      <c r="W3" s="132">
        <v>42796</v>
      </c>
      <c r="X3" s="10">
        <v>73.37</v>
      </c>
      <c r="Y3" s="10">
        <v>74.84</v>
      </c>
      <c r="Z3" s="10">
        <v>73.319999999999993</v>
      </c>
      <c r="AA3" s="10">
        <v>74.069999999999993</v>
      </c>
      <c r="AB3" s="94">
        <v>2428500</v>
      </c>
      <c r="AC3" s="10">
        <v>74.069999999999993</v>
      </c>
      <c r="AD3" s="2">
        <f t="shared" ref="AD3:AD66" si="0">Y3-Z3</f>
        <v>1.5200000000000102</v>
      </c>
      <c r="AE3" s="137">
        <f t="shared" ref="AE3:AE66" si="1">AC3/AC4-1</f>
        <v>9.8159509202453421E-3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72.89</v>
      </c>
      <c r="R4" s="522">
        <v>-1.01E-2</v>
      </c>
      <c r="T4" s="162"/>
      <c r="U4" s="1"/>
      <c r="W4" s="132">
        <v>42795</v>
      </c>
      <c r="X4" s="10">
        <v>74.75</v>
      </c>
      <c r="Y4" s="10">
        <v>75.39</v>
      </c>
      <c r="Z4" s="10">
        <v>72.55</v>
      </c>
      <c r="AA4" s="10">
        <v>73.349999999999994</v>
      </c>
      <c r="AB4" s="94">
        <v>5034000</v>
      </c>
      <c r="AC4" s="10">
        <v>73.349999999999994</v>
      </c>
      <c r="AD4" s="2">
        <f t="shared" si="0"/>
        <v>2.8400000000000034</v>
      </c>
      <c r="AE4" s="137">
        <f t="shared" si="1"/>
        <v>4.5193097781428548E-3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3644.5</v>
      </c>
      <c r="W5" s="132">
        <v>42794</v>
      </c>
      <c r="X5" s="10">
        <v>75.150000000000006</v>
      </c>
      <c r="Y5" s="10">
        <v>75.42</v>
      </c>
      <c r="Z5" s="10">
        <v>72.3</v>
      </c>
      <c r="AA5" s="10">
        <v>73.02</v>
      </c>
      <c r="AB5" s="94">
        <v>6909500</v>
      </c>
      <c r="AC5" s="10">
        <v>73.02</v>
      </c>
      <c r="AD5" s="2">
        <f t="shared" si="0"/>
        <v>3.1200000000000045</v>
      </c>
      <c r="AE5" s="137">
        <f t="shared" si="1"/>
        <v>-4.9094934236228793E-2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3629</v>
      </c>
      <c r="W6" s="132">
        <v>42793</v>
      </c>
      <c r="X6" s="10">
        <v>77.31</v>
      </c>
      <c r="Y6" s="10">
        <v>77.33</v>
      </c>
      <c r="Z6" s="10">
        <v>75.45</v>
      </c>
      <c r="AA6" s="10">
        <v>76.790000000000006</v>
      </c>
      <c r="AB6" s="94">
        <v>2579500</v>
      </c>
      <c r="AC6" s="10">
        <v>76.790000000000006</v>
      </c>
      <c r="AD6" s="2">
        <f t="shared" si="0"/>
        <v>1.8799999999999955</v>
      </c>
      <c r="AE6" s="137">
        <f t="shared" si="1"/>
        <v>-7.2398190045247501E-3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173.79999999999927</v>
      </c>
      <c r="R7" s="30">
        <v>42825</v>
      </c>
      <c r="W7" s="132">
        <v>42790</v>
      </c>
      <c r="X7" s="10">
        <v>76.319999999999993</v>
      </c>
      <c r="Y7" s="10">
        <v>78.47</v>
      </c>
      <c r="Z7" s="10">
        <v>75.73</v>
      </c>
      <c r="AA7" s="10">
        <v>77.349999999999994</v>
      </c>
      <c r="AB7" s="94">
        <v>3862100</v>
      </c>
      <c r="AC7" s="10">
        <v>77.349999999999994</v>
      </c>
      <c r="AD7" s="2">
        <f t="shared" si="0"/>
        <v>2.7399999999999949</v>
      </c>
      <c r="AE7" s="137">
        <f t="shared" si="1"/>
        <v>1.8835616438356073E-2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15.5</v>
      </c>
      <c r="W8" s="132">
        <v>42789</v>
      </c>
      <c r="X8" s="10">
        <v>77.73</v>
      </c>
      <c r="Y8" s="10">
        <v>77.73</v>
      </c>
      <c r="Z8" s="10">
        <v>75.73</v>
      </c>
      <c r="AA8" s="10">
        <v>75.92</v>
      </c>
      <c r="AB8" s="94">
        <v>1951200</v>
      </c>
      <c r="AC8" s="10">
        <v>75.92</v>
      </c>
      <c r="AD8" s="2">
        <f t="shared" si="0"/>
        <v>2</v>
      </c>
      <c r="AE8" s="137">
        <f t="shared" si="1"/>
        <v>-1.8867924528301772E-2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4.2711490768806834E-3</v>
      </c>
      <c r="W9" s="132">
        <v>42788</v>
      </c>
      <c r="X9" s="10">
        <v>78.099999999999994</v>
      </c>
      <c r="Y9" s="10">
        <v>78.180000000000007</v>
      </c>
      <c r="Z9" s="10">
        <v>76.819999999999993</v>
      </c>
      <c r="AA9" s="10">
        <v>77.38</v>
      </c>
      <c r="AB9" s="94">
        <v>1313400</v>
      </c>
      <c r="AC9" s="10">
        <v>77.38</v>
      </c>
      <c r="AD9" s="2">
        <f t="shared" si="0"/>
        <v>1.3600000000000136</v>
      </c>
      <c r="AE9" s="137">
        <f t="shared" si="1"/>
        <v>-6.1649113793990074E-3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42787</v>
      </c>
      <c r="X10" s="10">
        <v>78.33</v>
      </c>
      <c r="Y10" s="10">
        <v>79.349999999999994</v>
      </c>
      <c r="Z10" s="10">
        <v>77.28</v>
      </c>
      <c r="AA10" s="10">
        <v>77.86</v>
      </c>
      <c r="AB10" s="94">
        <v>2150100</v>
      </c>
      <c r="AC10" s="10">
        <v>77.86</v>
      </c>
      <c r="AD10" s="2">
        <f t="shared" si="0"/>
        <v>2.0699999999999932</v>
      </c>
      <c r="AE10" s="137">
        <f t="shared" si="1"/>
        <v>2.4462469421913102E-3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1.35E-2</v>
      </c>
      <c r="W11" s="132">
        <v>42783</v>
      </c>
      <c r="X11" s="10">
        <v>76.040000000000006</v>
      </c>
      <c r="Y11" s="10">
        <v>77.69</v>
      </c>
      <c r="Z11" s="10">
        <v>75.91</v>
      </c>
      <c r="AA11" s="10">
        <v>77.67</v>
      </c>
      <c r="AB11" s="94">
        <v>2304700</v>
      </c>
      <c r="AC11" s="10">
        <v>77.67</v>
      </c>
      <c r="AD11" s="2">
        <f t="shared" si="0"/>
        <v>1.7800000000000011</v>
      </c>
      <c r="AE11" s="137">
        <f t="shared" si="1"/>
        <v>2.1704814522494065E-2</v>
      </c>
    </row>
    <row r="12" spans="1:31" x14ac:dyDescent="0.25">
      <c r="H12" s="71"/>
      <c r="W12" s="132">
        <v>42782</v>
      </c>
      <c r="X12" s="10">
        <v>77.62</v>
      </c>
      <c r="Y12" s="10">
        <v>77.7</v>
      </c>
      <c r="Z12" s="10">
        <v>75.459999999999994</v>
      </c>
      <c r="AA12" s="10">
        <v>76.02</v>
      </c>
      <c r="AB12" s="94">
        <v>1650900</v>
      </c>
      <c r="AC12" s="10">
        <v>76.02</v>
      </c>
      <c r="AD12" s="2">
        <f t="shared" si="0"/>
        <v>2.2400000000000091</v>
      </c>
      <c r="AE12" s="137">
        <f t="shared" si="1"/>
        <v>-1.7575600930472945E-2</v>
      </c>
    </row>
    <row r="13" spans="1:31" x14ac:dyDescent="0.25">
      <c r="H13" s="71"/>
      <c r="W13" s="132">
        <v>42781</v>
      </c>
      <c r="X13" s="10">
        <v>77.010000000000005</v>
      </c>
      <c r="Y13" s="10">
        <v>77.45</v>
      </c>
      <c r="Z13" s="10">
        <v>76.62</v>
      </c>
      <c r="AA13" s="10">
        <v>77.38</v>
      </c>
      <c r="AB13" s="94">
        <v>1608200</v>
      </c>
      <c r="AC13" s="10">
        <v>77.38</v>
      </c>
      <c r="AD13" s="2">
        <f t="shared" si="0"/>
        <v>0.82999999999999829</v>
      </c>
      <c r="AE13" s="137">
        <f t="shared" si="1"/>
        <v>3.1112263417163444E-3</v>
      </c>
    </row>
    <row r="14" spans="1:31" x14ac:dyDescent="0.25">
      <c r="H14" s="71"/>
      <c r="W14" s="132">
        <v>42780</v>
      </c>
      <c r="X14" s="10">
        <v>76.02</v>
      </c>
      <c r="Y14" s="10">
        <v>77.58</v>
      </c>
      <c r="Z14" s="10">
        <v>75.819999999999993</v>
      </c>
      <c r="AA14" s="10">
        <v>77.14</v>
      </c>
      <c r="AB14" s="94">
        <v>4426900</v>
      </c>
      <c r="AC14" s="10">
        <v>77.14</v>
      </c>
      <c r="AD14" s="2">
        <f t="shared" si="0"/>
        <v>1.7600000000000051</v>
      </c>
      <c r="AE14" s="137">
        <f t="shared" si="1"/>
        <v>1.4732965009208066E-2</v>
      </c>
    </row>
    <row r="15" spans="1:31" x14ac:dyDescent="0.25">
      <c r="H15" s="71"/>
      <c r="W15" s="132">
        <v>42779</v>
      </c>
      <c r="X15" s="10">
        <v>77.400000000000006</v>
      </c>
      <c r="Y15" s="10">
        <v>77.41</v>
      </c>
      <c r="Z15" s="10">
        <v>75.94</v>
      </c>
      <c r="AA15" s="10">
        <v>76.02</v>
      </c>
      <c r="AB15" s="94">
        <v>1736200</v>
      </c>
      <c r="AC15" s="10">
        <v>76.02</v>
      </c>
      <c r="AD15" s="2">
        <f t="shared" si="0"/>
        <v>1.4699999999999989</v>
      </c>
      <c r="AE15" s="137">
        <f t="shared" si="1"/>
        <v>-1.0027347310847867E-2</v>
      </c>
    </row>
    <row r="16" spans="1:31" x14ac:dyDescent="0.25">
      <c r="H16" s="71"/>
      <c r="W16" s="132">
        <v>42776</v>
      </c>
      <c r="X16" s="10">
        <v>77.760000000000005</v>
      </c>
      <c r="Y16" s="10">
        <v>78.02</v>
      </c>
      <c r="Z16" s="10">
        <v>76.239999999999995</v>
      </c>
      <c r="AA16" s="10">
        <v>76.790000000000006</v>
      </c>
      <c r="AB16" s="94">
        <v>2572700</v>
      </c>
      <c r="AC16" s="10">
        <v>76.790000000000006</v>
      </c>
      <c r="AD16" s="2">
        <f t="shared" si="0"/>
        <v>1.7800000000000011</v>
      </c>
      <c r="AE16" s="137">
        <f t="shared" si="1"/>
        <v>-1.1838888173980044E-2</v>
      </c>
    </row>
    <row r="17" spans="1:31" x14ac:dyDescent="0.25">
      <c r="W17" s="132">
        <v>42775</v>
      </c>
      <c r="X17" s="10">
        <v>75.069999999999993</v>
      </c>
      <c r="Y17" s="10">
        <v>78.39</v>
      </c>
      <c r="Z17" s="10">
        <v>75.069999999999993</v>
      </c>
      <c r="AA17" s="10">
        <v>77.709999999999994</v>
      </c>
      <c r="AB17" s="94">
        <v>4862500</v>
      </c>
      <c r="AC17" s="10">
        <v>77.709999999999994</v>
      </c>
      <c r="AD17" s="2">
        <f t="shared" si="0"/>
        <v>3.3200000000000074</v>
      </c>
      <c r="AE17" s="137">
        <f t="shared" si="1"/>
        <v>3.5167177301185681E-2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3629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73.09</v>
      </c>
      <c r="Y18" s="10">
        <v>75.13</v>
      </c>
      <c r="Z18" s="10">
        <v>72.7</v>
      </c>
      <c r="AA18" s="10">
        <v>75.069999999999993</v>
      </c>
      <c r="AB18" s="94">
        <v>2660400</v>
      </c>
      <c r="AC18" s="10">
        <v>75.069999999999993</v>
      </c>
      <c r="AD18" s="2">
        <f t="shared" si="0"/>
        <v>2.4299999999999926</v>
      </c>
      <c r="AE18" s="137">
        <f t="shared" si="1"/>
        <v>3.1181318681318571E-2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42773</v>
      </c>
      <c r="X19" s="10">
        <v>72.67</v>
      </c>
      <c r="Y19" s="10">
        <v>73.19</v>
      </c>
      <c r="Z19" s="10">
        <v>72.17</v>
      </c>
      <c r="AA19" s="10">
        <v>72.8</v>
      </c>
      <c r="AB19" s="94">
        <v>2053600</v>
      </c>
      <c r="AC19" s="10">
        <v>72.8</v>
      </c>
      <c r="AD19" s="2">
        <f t="shared" si="0"/>
        <v>1.019999999999996</v>
      </c>
      <c r="AE19" s="137">
        <f t="shared" si="1"/>
        <v>7.4730141156931218E-3</v>
      </c>
    </row>
    <row r="20" spans="1:31" x14ac:dyDescent="0.25">
      <c r="W20" s="132">
        <v>42772</v>
      </c>
      <c r="X20" s="10">
        <v>72.56</v>
      </c>
      <c r="Y20" s="10">
        <v>73.040000000000006</v>
      </c>
      <c r="Z20" s="10">
        <v>72.2</v>
      </c>
      <c r="AA20" s="10">
        <v>72.260000000000005</v>
      </c>
      <c r="AB20" s="94">
        <v>2058900</v>
      </c>
      <c r="AC20" s="10">
        <v>72.260000000000005</v>
      </c>
      <c r="AD20" s="2">
        <f t="shared" si="0"/>
        <v>0.84000000000000341</v>
      </c>
      <c r="AE20" s="137">
        <f t="shared" si="1"/>
        <v>-1.2031719989062051E-2</v>
      </c>
    </row>
    <row r="21" spans="1:31" x14ac:dyDescent="0.25">
      <c r="W21" s="132">
        <v>42769</v>
      </c>
      <c r="X21" s="10">
        <v>73.489999999999995</v>
      </c>
      <c r="Y21" s="10">
        <v>74.16</v>
      </c>
      <c r="Z21" s="10">
        <v>72.849999999999994</v>
      </c>
      <c r="AA21" s="10">
        <v>73.14</v>
      </c>
      <c r="AB21" s="94">
        <v>2435400</v>
      </c>
      <c r="AC21" s="10">
        <v>73.14</v>
      </c>
      <c r="AD21" s="2">
        <f t="shared" si="0"/>
        <v>1.3100000000000023</v>
      </c>
      <c r="AE21" s="137">
        <f t="shared" si="1"/>
        <v>-4.8979591836734171E-3</v>
      </c>
    </row>
    <row r="22" spans="1:31" x14ac:dyDescent="0.25">
      <c r="W22" s="132">
        <v>42768</v>
      </c>
      <c r="X22" s="10">
        <v>73.59</v>
      </c>
      <c r="Y22" s="10">
        <v>74.180000000000007</v>
      </c>
      <c r="Z22" s="10">
        <v>73.22</v>
      </c>
      <c r="AA22" s="10">
        <v>73.5</v>
      </c>
      <c r="AB22" s="94">
        <v>1678400</v>
      </c>
      <c r="AC22" s="10">
        <v>73.5</v>
      </c>
      <c r="AD22" s="2">
        <f t="shared" si="0"/>
        <v>0.96000000000000796</v>
      </c>
      <c r="AE22" s="137">
        <f t="shared" si="1"/>
        <v>1.4988418040604579E-3</v>
      </c>
    </row>
    <row r="23" spans="1:31" x14ac:dyDescent="0.25">
      <c r="W23" s="132">
        <v>42767</v>
      </c>
      <c r="X23" s="10">
        <v>73.64</v>
      </c>
      <c r="Y23" s="10">
        <v>74.08</v>
      </c>
      <c r="Z23" s="10">
        <v>73.03</v>
      </c>
      <c r="AA23" s="10">
        <v>73.39</v>
      </c>
      <c r="AB23" s="94">
        <v>2607800</v>
      </c>
      <c r="AC23" s="10">
        <v>73.39</v>
      </c>
      <c r="AD23" s="2">
        <f t="shared" si="0"/>
        <v>1.0499999999999972</v>
      </c>
      <c r="AE23" s="137">
        <f t="shared" si="1"/>
        <v>-5.8249796803033771E-3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71.28</v>
      </c>
      <c r="Y24" s="10">
        <v>73.930000000000007</v>
      </c>
      <c r="Z24" s="10">
        <v>71.17</v>
      </c>
      <c r="AA24" s="10">
        <v>73.819999999999993</v>
      </c>
      <c r="AB24" s="94">
        <v>4013900</v>
      </c>
      <c r="AC24" s="10">
        <v>73.819999999999993</v>
      </c>
      <c r="AD24" s="2">
        <f t="shared" si="0"/>
        <v>2.7600000000000051</v>
      </c>
      <c r="AE24" s="137">
        <f t="shared" si="1"/>
        <v>2.5277777777777732E-2</v>
      </c>
    </row>
    <row r="25" spans="1:31" x14ac:dyDescent="0.25">
      <c r="B25" s="192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30">
        <f t="shared" ref="H25" si="4">(E25-D25)/D25</f>
        <v>6.062276109120939E-3</v>
      </c>
      <c r="I25" s="40"/>
      <c r="W25" s="132">
        <v>42765</v>
      </c>
      <c r="X25" s="10">
        <v>70.22</v>
      </c>
      <c r="Y25" s="10">
        <v>72.19</v>
      </c>
      <c r="Z25" s="10">
        <v>70.02</v>
      </c>
      <c r="AA25" s="10">
        <v>72</v>
      </c>
      <c r="AB25" s="94">
        <v>2311100</v>
      </c>
      <c r="AC25" s="10">
        <v>72</v>
      </c>
      <c r="AD25" s="2">
        <f t="shared" si="0"/>
        <v>2.1700000000000017</v>
      </c>
      <c r="AE25" s="137">
        <f t="shared" si="1"/>
        <v>2.4036410183473134E-2</v>
      </c>
    </row>
    <row r="26" spans="1:31" x14ac:dyDescent="0.25">
      <c r="B26" s="192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30">
        <f t="shared" ref="H26" si="7">(E26-D26)/D26</f>
        <v>1.0608983190961643E-2</v>
      </c>
      <c r="I26" s="40"/>
      <c r="W26" s="132">
        <v>42762</v>
      </c>
      <c r="X26" s="10">
        <v>72.099999999999994</v>
      </c>
      <c r="Y26" s="10">
        <v>72.2</v>
      </c>
      <c r="Z26" s="10">
        <v>70.11</v>
      </c>
      <c r="AA26" s="10">
        <v>70.31</v>
      </c>
      <c r="AB26" s="94">
        <v>2228000</v>
      </c>
      <c r="AC26" s="10">
        <v>70.31</v>
      </c>
      <c r="AD26" s="2">
        <f t="shared" si="0"/>
        <v>2.0900000000000034</v>
      </c>
      <c r="AE26" s="137">
        <f t="shared" si="1"/>
        <v>-1.9249546659227179E-2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42761</v>
      </c>
      <c r="X27" s="10">
        <v>71.650000000000006</v>
      </c>
      <c r="Y27" s="10">
        <v>72.09</v>
      </c>
      <c r="Z27" s="10">
        <v>71.44</v>
      </c>
      <c r="AA27" s="10">
        <v>71.69</v>
      </c>
      <c r="AB27" s="94">
        <v>2236300</v>
      </c>
      <c r="AC27" s="10">
        <v>71.69</v>
      </c>
      <c r="AD27" s="2">
        <f t="shared" si="0"/>
        <v>0.65000000000000568</v>
      </c>
      <c r="AE27" s="137">
        <f t="shared" si="1"/>
        <v>-3.7520844913840889E-3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42760</v>
      </c>
      <c r="X28" s="10">
        <v>71.959999999999994</v>
      </c>
      <c r="Y28" s="10">
        <v>72.5</v>
      </c>
      <c r="Z28" s="10">
        <v>71.44</v>
      </c>
      <c r="AA28" s="10">
        <v>71.959999999999994</v>
      </c>
      <c r="AB28" s="94">
        <v>3014800</v>
      </c>
      <c r="AC28" s="10">
        <v>71.959999999999994</v>
      </c>
      <c r="AD28" s="2">
        <f t="shared" si="0"/>
        <v>1.0600000000000023</v>
      </c>
      <c r="AE28" s="137">
        <f t="shared" si="1"/>
        <v>2.9268292682926855E-3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42759</v>
      </c>
      <c r="X29" s="10">
        <v>70.73</v>
      </c>
      <c r="Y29" s="10">
        <v>71.849999999999994</v>
      </c>
      <c r="Z29" s="10">
        <v>70.55</v>
      </c>
      <c r="AA29" s="10">
        <v>71.75</v>
      </c>
      <c r="AB29" s="94">
        <v>3272100</v>
      </c>
      <c r="AC29" s="10">
        <v>71.75</v>
      </c>
      <c r="AD29" s="2">
        <f t="shared" si="0"/>
        <v>1.2999999999999972</v>
      </c>
      <c r="AE29" s="137">
        <f t="shared" si="1"/>
        <v>1.830826000567698E-2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42758</v>
      </c>
      <c r="X30" s="10">
        <v>70.87</v>
      </c>
      <c r="Y30" s="10">
        <v>71</v>
      </c>
      <c r="Z30" s="10">
        <v>70.03</v>
      </c>
      <c r="AA30" s="10">
        <v>70.459999999999994</v>
      </c>
      <c r="AB30" s="94">
        <v>2077600</v>
      </c>
      <c r="AC30" s="10">
        <v>70.459999999999994</v>
      </c>
      <c r="AD30" s="2">
        <f t="shared" si="0"/>
        <v>0.96999999999999886</v>
      </c>
      <c r="AE30" s="137">
        <f t="shared" si="1"/>
        <v>-7.6056338028169801E-3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42755</v>
      </c>
      <c r="X31" s="10">
        <v>71.069999999999993</v>
      </c>
      <c r="Y31" s="10">
        <v>71.459999999999994</v>
      </c>
      <c r="Z31" s="10">
        <v>69.87</v>
      </c>
      <c r="AA31" s="10">
        <v>71</v>
      </c>
      <c r="AB31" s="94">
        <v>3978000</v>
      </c>
      <c r="AC31" s="10">
        <v>71</v>
      </c>
      <c r="AD31" s="2">
        <f t="shared" si="0"/>
        <v>1.5899999999999892</v>
      </c>
      <c r="AE31" s="137">
        <f t="shared" si="1"/>
        <v>-1.4082523588232476E-4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42754</v>
      </c>
      <c r="X32" s="10">
        <v>72.239999999999995</v>
      </c>
      <c r="Y32" s="10">
        <v>72.430000000000007</v>
      </c>
      <c r="Z32" s="10">
        <v>70.94</v>
      </c>
      <c r="AA32" s="10">
        <v>71.010000000000005</v>
      </c>
      <c r="AB32" s="94">
        <v>2698700</v>
      </c>
      <c r="AC32" s="10">
        <v>71.010000000000005</v>
      </c>
      <c r="AD32" s="2">
        <f t="shared" si="0"/>
        <v>1.4900000000000091</v>
      </c>
      <c r="AE32" s="137">
        <f t="shared" si="1"/>
        <v>-1.974047487575914E-2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42753</v>
      </c>
      <c r="X33" s="10">
        <v>73.849999999999994</v>
      </c>
      <c r="Y33" s="10">
        <v>74.14</v>
      </c>
      <c r="Z33" s="10">
        <v>72.17</v>
      </c>
      <c r="AA33" s="10">
        <v>72.44</v>
      </c>
      <c r="AB33" s="94">
        <v>2457300</v>
      </c>
      <c r="AC33" s="10">
        <v>72.44</v>
      </c>
      <c r="AD33" s="2">
        <f t="shared" si="0"/>
        <v>1.9699999999999989</v>
      </c>
      <c r="AE33" s="137">
        <f t="shared" si="1"/>
        <v>-2.542714919951572E-2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42752</v>
      </c>
      <c r="X34" s="10">
        <v>73.349999999999994</v>
      </c>
      <c r="Y34" s="10">
        <v>75.62</v>
      </c>
      <c r="Z34" s="10">
        <v>73.069999999999993</v>
      </c>
      <c r="AA34" s="10">
        <v>74.33</v>
      </c>
      <c r="AB34" s="94">
        <v>2058400</v>
      </c>
      <c r="AC34" s="10">
        <v>74.33</v>
      </c>
      <c r="AD34" s="2">
        <f t="shared" si="0"/>
        <v>2.5500000000000114</v>
      </c>
      <c r="AE34" s="137">
        <f t="shared" si="1"/>
        <v>1.696538514160606E-2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42748</v>
      </c>
      <c r="X35" s="10">
        <v>72.959999999999994</v>
      </c>
      <c r="Y35" s="10">
        <v>73.61</v>
      </c>
      <c r="Z35" s="10">
        <v>72.33</v>
      </c>
      <c r="AA35" s="10">
        <v>73.09</v>
      </c>
      <c r="AB35" s="94">
        <v>2046200</v>
      </c>
      <c r="AC35" s="10">
        <v>73.09</v>
      </c>
      <c r="AD35" s="2">
        <f t="shared" si="0"/>
        <v>1.2800000000000011</v>
      </c>
      <c r="AE35" s="137">
        <f t="shared" si="1"/>
        <v>-6.7944014132355068E-3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42747</v>
      </c>
      <c r="X36" s="10">
        <v>73.349999999999994</v>
      </c>
      <c r="Y36" s="10">
        <v>74.069999999999993</v>
      </c>
      <c r="Z36" s="10">
        <v>73.27</v>
      </c>
      <c r="AA36" s="10">
        <v>73.59</v>
      </c>
      <c r="AB36" s="94">
        <v>2076300</v>
      </c>
      <c r="AC36" s="10">
        <v>73.59</v>
      </c>
      <c r="AD36" s="2">
        <f t="shared" si="0"/>
        <v>0.79999999999999716</v>
      </c>
      <c r="AE36" s="137">
        <f t="shared" si="1"/>
        <v>2.3154453827294308E-3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42746</v>
      </c>
      <c r="X37" s="10">
        <v>74.48</v>
      </c>
      <c r="Y37" s="10">
        <v>74.67</v>
      </c>
      <c r="Z37" s="10">
        <v>73.3</v>
      </c>
      <c r="AA37" s="10">
        <v>73.42</v>
      </c>
      <c r="AB37" s="94">
        <v>3723900</v>
      </c>
      <c r="AC37" s="10">
        <v>73.42</v>
      </c>
      <c r="AD37" s="2">
        <f t="shared" si="0"/>
        <v>1.3700000000000045</v>
      </c>
      <c r="AE37" s="137">
        <f t="shared" si="1"/>
        <v>-1.1178451178451176E-2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42745</v>
      </c>
      <c r="X38" s="10">
        <v>73.739999999999995</v>
      </c>
      <c r="Y38" s="10">
        <v>74.84</v>
      </c>
      <c r="Z38" s="10">
        <v>73.459999999999994</v>
      </c>
      <c r="AA38" s="10">
        <v>74.25</v>
      </c>
      <c r="AB38" s="94">
        <v>2020900</v>
      </c>
      <c r="AC38" s="10">
        <v>74.25</v>
      </c>
      <c r="AD38" s="2">
        <f t="shared" si="0"/>
        <v>1.3800000000000097</v>
      </c>
      <c r="AE38" s="137">
        <f t="shared" si="1"/>
        <v>7.052760070527464E-3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73.17</v>
      </c>
      <c r="Y39" s="10">
        <v>73.989999999999995</v>
      </c>
      <c r="Z39" s="10">
        <v>72.819999999999993</v>
      </c>
      <c r="AA39" s="10">
        <v>73.73</v>
      </c>
      <c r="AB39" s="94">
        <v>2465700</v>
      </c>
      <c r="AC39" s="10">
        <v>73.73</v>
      </c>
      <c r="AD39" s="2">
        <f t="shared" si="0"/>
        <v>1.1700000000000017</v>
      </c>
      <c r="AE39" s="137">
        <f t="shared" si="1"/>
        <v>5.1806407634629181E-3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42741</v>
      </c>
      <c r="X40" s="10">
        <v>74.42</v>
      </c>
      <c r="Y40" s="10">
        <v>74.42</v>
      </c>
      <c r="Z40" s="10">
        <v>73.290000000000006</v>
      </c>
      <c r="AA40" s="10">
        <v>73.349999999999994</v>
      </c>
      <c r="AB40" s="94">
        <v>2353300</v>
      </c>
      <c r="AC40" s="10">
        <v>73.349999999999994</v>
      </c>
      <c r="AD40" s="2">
        <f t="shared" si="0"/>
        <v>1.1299999999999955</v>
      </c>
      <c r="AE40" s="137">
        <f t="shared" si="1"/>
        <v>-1.5700483091787509E-2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80.179000000000002</v>
      </c>
      <c r="Q41" s="2"/>
      <c r="W41" s="132">
        <v>42740</v>
      </c>
      <c r="X41" s="10">
        <v>74.91</v>
      </c>
      <c r="Y41" s="10">
        <v>75.180000000000007</v>
      </c>
      <c r="Z41" s="10">
        <v>73.77</v>
      </c>
      <c r="AA41" s="10">
        <v>74.52</v>
      </c>
      <c r="AB41" s="94">
        <v>2828700</v>
      </c>
      <c r="AC41" s="10">
        <v>74.52</v>
      </c>
      <c r="AD41" s="2">
        <f t="shared" si="0"/>
        <v>1.4100000000000108</v>
      </c>
      <c r="AE41" s="137">
        <f t="shared" si="1"/>
        <v>-1.9989479221462547E-2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8">O42*$Q$4</f>
        <v>79.450100000000006</v>
      </c>
      <c r="Q42" s="2"/>
      <c r="T42" s="90" t="s">
        <v>113</v>
      </c>
      <c r="W42" s="132">
        <v>42739</v>
      </c>
      <c r="X42" s="10">
        <v>74.64</v>
      </c>
      <c r="Y42" s="10">
        <v>76.290000000000006</v>
      </c>
      <c r="Z42" s="10">
        <v>74.56</v>
      </c>
      <c r="AA42" s="10">
        <v>76.040000000000006</v>
      </c>
      <c r="AB42" s="94">
        <v>3018900</v>
      </c>
      <c r="AC42" s="10">
        <v>76.040000000000006</v>
      </c>
      <c r="AD42" s="2">
        <f t="shared" si="0"/>
        <v>1.730000000000004</v>
      </c>
      <c r="AE42" s="137">
        <f t="shared" si="1"/>
        <v>2.4935975198814075E-2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8"/>
        <v>78.72120000000001</v>
      </c>
      <c r="Q43" s="2"/>
      <c r="T43" s="127" t="s">
        <v>98</v>
      </c>
      <c r="U43" s="128">
        <v>74.069999999999993</v>
      </c>
      <c r="W43" s="132">
        <v>42738</v>
      </c>
      <c r="X43" s="10">
        <v>74.34</v>
      </c>
      <c r="Y43" s="10">
        <v>74.42</v>
      </c>
      <c r="Z43" s="10">
        <v>73.209999999999994</v>
      </c>
      <c r="AA43" s="10">
        <v>74.19</v>
      </c>
      <c r="AB43" s="94">
        <v>1998000</v>
      </c>
      <c r="AC43" s="10">
        <v>74.19</v>
      </c>
      <c r="AD43" s="2">
        <f t="shared" si="0"/>
        <v>1.210000000000008</v>
      </c>
      <c r="AE43" s="137">
        <f t="shared" si="1"/>
        <v>1.620089104900746E-3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8"/>
        <v>77.9923</v>
      </c>
      <c r="Q44" s="2"/>
      <c r="T44" s="92" t="s">
        <v>99</v>
      </c>
      <c r="U44" s="129">
        <v>73.48</v>
      </c>
      <c r="W44" s="132">
        <v>42734</v>
      </c>
      <c r="X44" s="10">
        <v>74.099999999999994</v>
      </c>
      <c r="Y44" s="10">
        <v>74.44</v>
      </c>
      <c r="Z44" s="10">
        <v>73.67</v>
      </c>
      <c r="AA44" s="10">
        <v>74.069999999999993</v>
      </c>
      <c r="AB44" s="94">
        <v>1570200</v>
      </c>
      <c r="AC44" s="10">
        <v>74.069999999999993</v>
      </c>
      <c r="AD44" s="2">
        <f t="shared" si="0"/>
        <v>0.76999999999999602</v>
      </c>
      <c r="AE44" s="137">
        <f t="shared" si="1"/>
        <v>-8.0938891137194435E-4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8"/>
        <v>77.263400000000004</v>
      </c>
      <c r="Q45" s="2"/>
      <c r="T45" s="92" t="s">
        <v>100</v>
      </c>
      <c r="U45" s="129" t="s">
        <v>129</v>
      </c>
      <c r="W45" s="132">
        <v>42733</v>
      </c>
      <c r="X45" s="10">
        <v>73.900000000000006</v>
      </c>
      <c r="Y45" s="10">
        <v>74.430000000000007</v>
      </c>
      <c r="Z45" s="10">
        <v>73.84</v>
      </c>
      <c r="AA45" s="10">
        <v>74.13</v>
      </c>
      <c r="AB45" s="94">
        <v>1135100</v>
      </c>
      <c r="AC45" s="10">
        <v>74.13</v>
      </c>
      <c r="AD45" s="2">
        <f t="shared" si="0"/>
        <v>0.59000000000000341</v>
      </c>
      <c r="AE45" s="137">
        <f t="shared" si="1"/>
        <v>1.4860848419346873E-3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8"/>
        <v>76.534500000000008</v>
      </c>
      <c r="Q46" s="2"/>
      <c r="T46" s="92" t="s">
        <v>101</v>
      </c>
      <c r="U46" s="129" t="s">
        <v>129</v>
      </c>
      <c r="W46" s="132">
        <v>42732</v>
      </c>
      <c r="X46" s="10">
        <v>74.81</v>
      </c>
      <c r="Y46" s="10">
        <v>75</v>
      </c>
      <c r="Z46" s="10">
        <v>73.75</v>
      </c>
      <c r="AA46" s="10">
        <v>74.02</v>
      </c>
      <c r="AB46" s="94">
        <v>1311900</v>
      </c>
      <c r="AC46" s="10">
        <v>74.02</v>
      </c>
      <c r="AD46" s="2">
        <f t="shared" si="0"/>
        <v>1.25</v>
      </c>
      <c r="AE46" s="137">
        <f t="shared" si="1"/>
        <v>-6.8428820609151009E-3</v>
      </c>
    </row>
    <row r="47" spans="2:31" x14ac:dyDescent="0.25">
      <c r="B47" s="73"/>
      <c r="C47" s="4"/>
      <c r="D47" s="3"/>
      <c r="E47" s="3"/>
      <c r="F47" s="3"/>
      <c r="G47" s="3"/>
      <c r="H47" s="279"/>
      <c r="I47" s="277"/>
      <c r="O47" s="82">
        <v>1.04</v>
      </c>
      <c r="P47" s="82">
        <f t="shared" si="8"/>
        <v>75.805599999999998</v>
      </c>
      <c r="Q47" s="2"/>
      <c r="T47" s="92" t="s">
        <v>102</v>
      </c>
      <c r="U47" s="129">
        <v>79.98</v>
      </c>
      <c r="W47" s="132">
        <v>42731</v>
      </c>
      <c r="X47" s="10">
        <v>74.47</v>
      </c>
      <c r="Y47" s="10">
        <v>75.099999999999994</v>
      </c>
      <c r="Z47" s="10">
        <v>74.16</v>
      </c>
      <c r="AA47" s="10">
        <v>74.53</v>
      </c>
      <c r="AB47" s="94">
        <v>1491700</v>
      </c>
      <c r="AC47" s="10">
        <v>74.53</v>
      </c>
      <c r="AD47" s="2">
        <f t="shared" si="0"/>
        <v>0.93999999999999773</v>
      </c>
      <c r="AE47" s="137">
        <f t="shared" si="1"/>
        <v>5.2603183166981538E-3</v>
      </c>
    </row>
    <row r="48" spans="2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8"/>
        <v>75.076700000000002</v>
      </c>
      <c r="Q48" s="2"/>
      <c r="T48" s="92" t="s">
        <v>103</v>
      </c>
      <c r="U48" s="129">
        <v>0.71672999999999998</v>
      </c>
      <c r="W48" s="132">
        <v>42727</v>
      </c>
      <c r="X48" s="10">
        <v>74.52</v>
      </c>
      <c r="Y48" s="10">
        <v>75.209999999999994</v>
      </c>
      <c r="Z48" s="10">
        <v>73.98</v>
      </c>
      <c r="AA48" s="10">
        <v>74.14</v>
      </c>
      <c r="AB48" s="94">
        <v>1261000</v>
      </c>
      <c r="AC48" s="10">
        <v>74.14</v>
      </c>
      <c r="AD48" s="2">
        <f t="shared" si="0"/>
        <v>1.2299999999999898</v>
      </c>
      <c r="AE48" s="137">
        <f t="shared" si="1"/>
        <v>-2.9585798816568198E-3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8"/>
        <v>74.347800000000007</v>
      </c>
      <c r="Q49" s="2"/>
      <c r="T49" s="92" t="s">
        <v>104</v>
      </c>
      <c r="U49" s="129" t="s">
        <v>495</v>
      </c>
      <c r="W49" s="132">
        <v>42726</v>
      </c>
      <c r="X49" s="10">
        <v>77</v>
      </c>
      <c r="Y49" s="10">
        <v>77.16</v>
      </c>
      <c r="Z49" s="10">
        <v>74.16</v>
      </c>
      <c r="AA49" s="10">
        <v>74.36</v>
      </c>
      <c r="AB49" s="94">
        <v>3475200</v>
      </c>
      <c r="AC49" s="10">
        <v>74.36</v>
      </c>
      <c r="AD49" s="2">
        <f t="shared" si="0"/>
        <v>3</v>
      </c>
      <c r="AE49" s="137">
        <f t="shared" si="1"/>
        <v>-3.9648714968358645E-2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8"/>
        <v>73.618899999999996</v>
      </c>
      <c r="Q50" s="2"/>
      <c r="T50" s="92"/>
      <c r="U50" s="129"/>
      <c r="W50" s="132">
        <v>42725</v>
      </c>
      <c r="X50" s="10">
        <v>77</v>
      </c>
      <c r="Y50" s="10">
        <v>78.06</v>
      </c>
      <c r="Z50" s="10">
        <v>76.53</v>
      </c>
      <c r="AA50" s="10">
        <v>77.430000000000007</v>
      </c>
      <c r="AB50" s="94">
        <v>1977700</v>
      </c>
      <c r="AC50" s="10">
        <v>77.430000000000007</v>
      </c>
      <c r="AD50" s="2">
        <f t="shared" si="0"/>
        <v>1.5300000000000011</v>
      </c>
      <c r="AE50" s="137">
        <f t="shared" si="1"/>
        <v>2.0706613174583666E-3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8"/>
        <v>72.89</v>
      </c>
      <c r="Q51" s="2"/>
      <c r="T51" s="92" t="s">
        <v>105</v>
      </c>
      <c r="U51" s="129" t="s">
        <v>602</v>
      </c>
      <c r="W51" s="132">
        <v>42724</v>
      </c>
      <c r="X51" s="10">
        <v>76.09</v>
      </c>
      <c r="Y51" s="10">
        <v>77.66</v>
      </c>
      <c r="Z51" s="10">
        <v>76.09</v>
      </c>
      <c r="AA51" s="10">
        <v>77.27</v>
      </c>
      <c r="AB51" s="94">
        <v>3486100</v>
      </c>
      <c r="AC51" s="10">
        <v>77.27</v>
      </c>
      <c r="AD51" s="2">
        <f t="shared" si="0"/>
        <v>1.5699999999999932</v>
      </c>
      <c r="AE51" s="137">
        <f t="shared" si="1"/>
        <v>1.7379855167873437E-2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8"/>
        <v>72.161100000000005</v>
      </c>
      <c r="Q52" s="2"/>
      <c r="T52" s="92" t="s">
        <v>106</v>
      </c>
      <c r="U52" s="129" t="s">
        <v>326</v>
      </c>
      <c r="W52" s="132">
        <v>42723</v>
      </c>
      <c r="X52" s="10">
        <v>76.62</v>
      </c>
      <c r="Y52" s="10">
        <v>77.11</v>
      </c>
      <c r="Z52" s="10">
        <v>75.88</v>
      </c>
      <c r="AA52" s="10">
        <v>75.95</v>
      </c>
      <c r="AB52" s="94">
        <v>1867300</v>
      </c>
      <c r="AC52" s="10">
        <v>75.95</v>
      </c>
      <c r="AD52" s="2">
        <f t="shared" si="0"/>
        <v>1.230000000000004</v>
      </c>
      <c r="AE52" s="137" t="e">
        <f t="shared" si="1"/>
        <v>#DIV/0!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8"/>
        <v>71.432199999999995</v>
      </c>
      <c r="Q53" s="2"/>
      <c r="T53" s="92" t="s">
        <v>107</v>
      </c>
      <c r="U53" s="130">
        <v>3040775</v>
      </c>
      <c r="W53" s="132">
        <v>42723</v>
      </c>
      <c r="X53" s="10" t="s">
        <v>125</v>
      </c>
      <c r="Y53" s="10"/>
      <c r="Z53" s="10"/>
      <c r="AA53" s="10"/>
      <c r="AB53" s="94"/>
      <c r="AC53" s="10"/>
      <c r="AD53" s="2">
        <f t="shared" si="0"/>
        <v>0</v>
      </c>
      <c r="AE53" s="137">
        <f t="shared" si="1"/>
        <v>-1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8"/>
        <v>70.703299999999999</v>
      </c>
      <c r="T54" s="92" t="s">
        <v>110</v>
      </c>
      <c r="U54" s="130">
        <v>2707470</v>
      </c>
      <c r="W54" s="132">
        <v>42720</v>
      </c>
      <c r="X54" s="10">
        <v>77</v>
      </c>
      <c r="Y54" s="10">
        <v>78.010000000000005</v>
      </c>
      <c r="Z54" s="10">
        <v>76.64</v>
      </c>
      <c r="AA54" s="10">
        <v>77.099999999999994</v>
      </c>
      <c r="AB54" s="94">
        <v>4312100</v>
      </c>
      <c r="AC54" s="10">
        <v>76.849999999999994</v>
      </c>
      <c r="AD54" s="2">
        <f t="shared" si="0"/>
        <v>1.3700000000000045</v>
      </c>
      <c r="AE54" s="137">
        <f t="shared" si="1"/>
        <v>-1.3010668748381082E-4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8"/>
        <v>69.974400000000003</v>
      </c>
      <c r="T55" s="92" t="s">
        <v>108</v>
      </c>
      <c r="U55" s="129" t="s">
        <v>603</v>
      </c>
      <c r="W55" s="132">
        <v>42719</v>
      </c>
      <c r="X55" s="10">
        <v>76.03</v>
      </c>
      <c r="Y55" s="10">
        <v>77.180000000000007</v>
      </c>
      <c r="Z55" s="10">
        <v>75.989999999999995</v>
      </c>
      <c r="AA55" s="10">
        <v>77.11</v>
      </c>
      <c r="AB55" s="94">
        <v>2280100</v>
      </c>
      <c r="AC55" s="10">
        <v>76.86</v>
      </c>
      <c r="AD55" s="2">
        <f t="shared" si="0"/>
        <v>1.1900000000000119</v>
      </c>
      <c r="AE55" s="137">
        <f t="shared" si="1"/>
        <v>1.6129032258064502E-2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8"/>
        <v>69.245499999999993</v>
      </c>
      <c r="T56" s="92" t="s">
        <v>111</v>
      </c>
      <c r="U56" s="129">
        <v>17.149999999999999</v>
      </c>
      <c r="W56" s="132">
        <v>42718</v>
      </c>
      <c r="X56" s="10">
        <v>76.11</v>
      </c>
      <c r="Y56" s="10">
        <v>76.55</v>
      </c>
      <c r="Z56" s="10">
        <v>74.73</v>
      </c>
      <c r="AA56" s="10">
        <v>75.89</v>
      </c>
      <c r="AB56" s="94">
        <v>3004100</v>
      </c>
      <c r="AC56" s="10">
        <v>75.64</v>
      </c>
      <c r="AD56" s="2">
        <f t="shared" si="0"/>
        <v>1.8199999999999932</v>
      </c>
      <c r="AE56" s="137">
        <f t="shared" si="1"/>
        <v>-9.2458063663969359E-4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8"/>
        <v>68.516599999999997</v>
      </c>
      <c r="T57" s="92" t="s">
        <v>112</v>
      </c>
      <c r="U57" s="129">
        <v>4.26</v>
      </c>
      <c r="W57" s="132">
        <v>42717</v>
      </c>
      <c r="X57" s="10">
        <v>76.040000000000006</v>
      </c>
      <c r="Y57" s="10">
        <v>76.92</v>
      </c>
      <c r="Z57" s="10">
        <v>74.62</v>
      </c>
      <c r="AA57" s="10">
        <v>75.959999999999994</v>
      </c>
      <c r="AB57" s="94">
        <v>4332200</v>
      </c>
      <c r="AC57" s="10">
        <v>75.709999999999994</v>
      </c>
      <c r="AD57" s="2">
        <f t="shared" si="0"/>
        <v>2.2999999999999972</v>
      </c>
      <c r="AE57" s="137">
        <f t="shared" si="1"/>
        <v>-3.291205897840932E-3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8"/>
        <v>67.787700000000001</v>
      </c>
      <c r="T58" s="92" t="s">
        <v>109</v>
      </c>
      <c r="U58" s="129" t="s">
        <v>604</v>
      </c>
      <c r="W58" s="132">
        <v>42716</v>
      </c>
      <c r="X58" s="10">
        <v>76.86</v>
      </c>
      <c r="Y58" s="10">
        <v>77.12</v>
      </c>
      <c r="Z58" s="10">
        <v>75.69</v>
      </c>
      <c r="AA58" s="10">
        <v>76.209999999999994</v>
      </c>
      <c r="AB58" s="94">
        <v>2848000</v>
      </c>
      <c r="AC58" s="10">
        <v>75.959999999999994</v>
      </c>
      <c r="AD58" s="2">
        <f t="shared" si="0"/>
        <v>1.4300000000000068</v>
      </c>
      <c r="AE58" s="137">
        <f t="shared" si="1"/>
        <v>-1.2865497076023469E-2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8"/>
        <v>67.058800000000005</v>
      </c>
      <c r="W59" s="132">
        <v>42713</v>
      </c>
      <c r="X59" s="10">
        <v>76.739999999999995</v>
      </c>
      <c r="Y59" s="10">
        <v>77.53</v>
      </c>
      <c r="Z59" s="10">
        <v>76.66</v>
      </c>
      <c r="AA59" s="10">
        <v>77.2</v>
      </c>
      <c r="AB59" s="94">
        <v>2132600</v>
      </c>
      <c r="AC59" s="10">
        <v>76.95</v>
      </c>
      <c r="AD59" s="2">
        <f t="shared" si="0"/>
        <v>0.87000000000000455</v>
      </c>
      <c r="AE59" s="137">
        <f t="shared" si="1"/>
        <v>3.6520151297769754E-3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8"/>
        <v>66.329900000000009</v>
      </c>
      <c r="W60" s="132">
        <v>42712</v>
      </c>
      <c r="X60" s="10">
        <v>77.040000000000006</v>
      </c>
      <c r="Y60" s="10">
        <v>77.38</v>
      </c>
      <c r="Z60" s="10">
        <v>76.59</v>
      </c>
      <c r="AA60" s="10">
        <v>76.92</v>
      </c>
      <c r="AB60" s="94">
        <v>2191600</v>
      </c>
      <c r="AC60" s="10">
        <v>76.67</v>
      </c>
      <c r="AD60" s="2">
        <f t="shared" si="0"/>
        <v>0.78999999999999204</v>
      </c>
      <c r="AE60" s="137">
        <f t="shared" si="1"/>
        <v>-2.3422251138580652E-3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8"/>
        <v>65.600999999999999</v>
      </c>
      <c r="W61" s="132">
        <v>42711</v>
      </c>
      <c r="X61" s="10">
        <v>75.44</v>
      </c>
      <c r="Y61" s="10">
        <v>77.12</v>
      </c>
      <c r="Z61" s="10">
        <v>75.44</v>
      </c>
      <c r="AA61" s="10">
        <v>77.099999999999994</v>
      </c>
      <c r="AB61" s="94">
        <v>3235400</v>
      </c>
      <c r="AC61" s="10">
        <v>76.849999999999994</v>
      </c>
      <c r="AD61" s="2">
        <f t="shared" si="0"/>
        <v>1.6800000000000068</v>
      </c>
      <c r="AE61" s="137">
        <f t="shared" si="1"/>
        <v>1.8690349946977713E-2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42710</v>
      </c>
      <c r="X62" s="10">
        <v>76.62</v>
      </c>
      <c r="Y62" s="10">
        <v>76.62</v>
      </c>
      <c r="Z62" s="10">
        <v>75.22</v>
      </c>
      <c r="AA62" s="10">
        <v>75.69</v>
      </c>
      <c r="AB62" s="94">
        <v>3029800</v>
      </c>
      <c r="AC62" s="10">
        <v>75.44</v>
      </c>
      <c r="AD62" s="2">
        <f t="shared" si="0"/>
        <v>1.4000000000000057</v>
      </c>
      <c r="AE62" s="137">
        <f t="shared" si="1"/>
        <v>-8.9332632685235058E-3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42709</v>
      </c>
      <c r="X63" s="10">
        <v>74.94</v>
      </c>
      <c r="Y63" s="10">
        <v>76.45</v>
      </c>
      <c r="Z63" s="10">
        <v>74.650000000000006</v>
      </c>
      <c r="AA63" s="10">
        <v>76.37</v>
      </c>
      <c r="AB63" s="94">
        <v>3648800</v>
      </c>
      <c r="AC63" s="10">
        <v>76.12</v>
      </c>
      <c r="AD63" s="2">
        <f t="shared" si="0"/>
        <v>1.7999999999999972</v>
      </c>
      <c r="AE63" s="137">
        <f t="shared" si="1"/>
        <v>2.4219590958019621E-2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42706</v>
      </c>
      <c r="X64" s="10">
        <v>72.98</v>
      </c>
      <c r="Y64" s="10">
        <v>74.790000000000006</v>
      </c>
      <c r="Z64" s="10">
        <v>72.930000000000007</v>
      </c>
      <c r="AA64" s="10">
        <v>74.56</v>
      </c>
      <c r="AB64" s="94">
        <v>5708400</v>
      </c>
      <c r="AC64" s="10">
        <v>74.319999999999993</v>
      </c>
      <c r="AD64" s="2">
        <f t="shared" si="0"/>
        <v>1.8599999999999994</v>
      </c>
      <c r="AE64" s="137">
        <f t="shared" si="1"/>
        <v>1.4746040415073658E-2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42705</v>
      </c>
      <c r="X65" s="10">
        <v>72.489999999999995</v>
      </c>
      <c r="Y65" s="10">
        <v>74.16</v>
      </c>
      <c r="Z65" s="10">
        <v>70.59</v>
      </c>
      <c r="AA65" s="10">
        <v>73.48</v>
      </c>
      <c r="AB65" s="94">
        <v>13129300</v>
      </c>
      <c r="AC65" s="10">
        <v>73.239999999999995</v>
      </c>
      <c r="AD65" s="2">
        <f t="shared" si="0"/>
        <v>3.5699999999999932</v>
      </c>
      <c r="AE65" s="137">
        <f t="shared" si="1"/>
        <v>-4.9695082392630097E-2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42704</v>
      </c>
      <c r="X66" s="10">
        <v>77.94</v>
      </c>
      <c r="Y66" s="10">
        <v>78.540000000000006</v>
      </c>
      <c r="Z66" s="10">
        <v>77.09</v>
      </c>
      <c r="AA66" s="10">
        <v>77.319999999999993</v>
      </c>
      <c r="AB66" s="94">
        <v>7159200</v>
      </c>
      <c r="AC66" s="10">
        <v>77.069999999999993</v>
      </c>
      <c r="AD66" s="2">
        <f t="shared" si="0"/>
        <v>1.4500000000000028</v>
      </c>
      <c r="AE66" s="137">
        <f t="shared" si="1"/>
        <v>-1.2682551883166915E-2</v>
      </c>
    </row>
    <row r="67" spans="1:31" x14ac:dyDescent="0.25">
      <c r="A67" s="539" t="s">
        <v>1</v>
      </c>
      <c r="B67" s="539" t="s">
        <v>2</v>
      </c>
      <c r="C67" s="539" t="s">
        <v>4</v>
      </c>
      <c r="D67" s="540" t="s">
        <v>5</v>
      </c>
      <c r="E67" s="540" t="s">
        <v>94</v>
      </c>
      <c r="F67" s="540" t="s">
        <v>60</v>
      </c>
      <c r="G67" s="539" t="s">
        <v>3</v>
      </c>
      <c r="H67" s="539" t="s">
        <v>6</v>
      </c>
      <c r="I67" s="540" t="s">
        <v>7</v>
      </c>
      <c r="J67" s="540" t="s">
        <v>95</v>
      </c>
      <c r="K67" s="540" t="s">
        <v>61</v>
      </c>
      <c r="L67" s="539" t="s">
        <v>37</v>
      </c>
      <c r="M67" s="539" t="s">
        <v>38</v>
      </c>
      <c r="W67" s="132">
        <v>42703</v>
      </c>
      <c r="X67" s="10">
        <v>78.599999999999994</v>
      </c>
      <c r="Y67" s="10">
        <v>78.83</v>
      </c>
      <c r="Z67" s="10">
        <v>77.42</v>
      </c>
      <c r="AA67" s="10">
        <v>78.31</v>
      </c>
      <c r="AB67" s="94">
        <v>4007300</v>
      </c>
      <c r="AC67" s="10">
        <v>78.06</v>
      </c>
      <c r="AD67" s="2">
        <f>Y67-Z67</f>
        <v>1.4099999999999966</v>
      </c>
      <c r="AE67" s="137" t="e">
        <f>AC67/#REF!-1</f>
        <v>#REF!</v>
      </c>
    </row>
    <row r="68" spans="1:31" x14ac:dyDescent="0.25">
      <c r="A68" s="541" t="s">
        <v>277</v>
      </c>
      <c r="B68" s="523">
        <v>42619</v>
      </c>
      <c r="C68" s="524">
        <v>20</v>
      </c>
      <c r="D68" s="526">
        <v>72.08</v>
      </c>
      <c r="E68" s="526">
        <v>0</v>
      </c>
      <c r="F68" s="526">
        <f>C68*D68+E68</f>
        <v>1441.6</v>
      </c>
      <c r="G68" s="523">
        <v>42683</v>
      </c>
      <c r="H68" s="542">
        <v>35</v>
      </c>
      <c r="I68" s="526">
        <v>71.36</v>
      </c>
      <c r="J68" s="526">
        <v>0.05</v>
      </c>
      <c r="K68" s="526">
        <f>H68*I68-J68</f>
        <v>2497.5499999999997</v>
      </c>
      <c r="L68" s="523">
        <v>42642</v>
      </c>
      <c r="M68" s="526">
        <v>10</v>
      </c>
      <c r="W68" s="132">
        <v>42702</v>
      </c>
      <c r="X68" s="10">
        <v>79.77</v>
      </c>
      <c r="Y68" s="10">
        <v>80.52</v>
      </c>
      <c r="Z68" s="10">
        <v>78.38</v>
      </c>
      <c r="AA68" s="10">
        <v>78.66</v>
      </c>
      <c r="AB68" s="94">
        <v>4354100</v>
      </c>
      <c r="AC68" s="10">
        <v>78.400000000000006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543" t="s">
        <v>71</v>
      </c>
      <c r="B69" s="523">
        <v>42621</v>
      </c>
      <c r="C69" s="524">
        <v>20</v>
      </c>
      <c r="D69" s="526">
        <v>70.45</v>
      </c>
      <c r="E69" s="526">
        <v>0</v>
      </c>
      <c r="F69" s="526">
        <f>C69*D69+E69</f>
        <v>1409</v>
      </c>
      <c r="G69" s="523">
        <v>42684</v>
      </c>
      <c r="H69" s="542">
        <v>30</v>
      </c>
      <c r="I69" s="526">
        <v>73.28</v>
      </c>
      <c r="J69" s="526">
        <v>0.05</v>
      </c>
      <c r="K69" s="526">
        <f>H69*I69-J69</f>
        <v>2198.35</v>
      </c>
      <c r="L69" s="524"/>
      <c r="M69" s="524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524"/>
      <c r="B70" s="523">
        <v>42648</v>
      </c>
      <c r="C70" s="524">
        <v>25</v>
      </c>
      <c r="D70" s="526">
        <v>67.88</v>
      </c>
      <c r="E70" s="526">
        <v>0</v>
      </c>
      <c r="F70" s="526">
        <f>C70*D70+E70</f>
        <v>1697</v>
      </c>
      <c r="G70" s="523"/>
      <c r="H70" s="542"/>
      <c r="I70" s="526"/>
      <c r="J70" s="526"/>
      <c r="K70" s="526"/>
      <c r="L70" s="524"/>
      <c r="M70" s="524"/>
    </row>
    <row r="71" spans="1:31" x14ac:dyDescent="0.25">
      <c r="A71" s="524"/>
      <c r="B71" s="523"/>
      <c r="C71" s="524"/>
      <c r="D71" s="526"/>
      <c r="E71" s="526"/>
      <c r="F71" s="526"/>
      <c r="G71" s="524"/>
      <c r="H71" s="542"/>
      <c r="I71" s="526"/>
      <c r="J71" s="526"/>
      <c r="K71" s="526"/>
      <c r="L71" s="524"/>
      <c r="M71" s="524"/>
    </row>
    <row r="72" spans="1:31" x14ac:dyDescent="0.25">
      <c r="A72" s="524"/>
      <c r="B72" s="523"/>
      <c r="C72" s="524"/>
      <c r="D72" s="526"/>
      <c r="E72" s="526"/>
      <c r="F72" s="526"/>
      <c r="G72" s="524"/>
      <c r="H72" s="542"/>
      <c r="I72" s="526"/>
      <c r="J72" s="526"/>
      <c r="K72" s="526"/>
      <c r="L72" s="524"/>
      <c r="M72" s="524"/>
    </row>
    <row r="73" spans="1:31" x14ac:dyDescent="0.25">
      <c r="A73" s="524"/>
      <c r="B73" s="524"/>
      <c r="C73" s="524"/>
      <c r="D73" s="526"/>
      <c r="E73" s="526"/>
      <c r="F73" s="526"/>
      <c r="G73" s="524"/>
      <c r="H73" s="542"/>
      <c r="I73" s="526"/>
      <c r="J73" s="526"/>
      <c r="K73" s="526"/>
      <c r="L73" s="524"/>
      <c r="M73" s="524"/>
    </row>
    <row r="74" spans="1:31" x14ac:dyDescent="0.25">
      <c r="A74" s="524"/>
      <c r="B74" s="524"/>
      <c r="C74" s="524"/>
      <c r="D74" s="526"/>
      <c r="E74" s="526"/>
      <c r="F74" s="526"/>
      <c r="G74" s="524"/>
      <c r="H74" s="542"/>
      <c r="I74" s="526"/>
      <c r="J74" s="526"/>
      <c r="K74" s="526"/>
      <c r="L74" s="524"/>
      <c r="M74" s="524"/>
    </row>
    <row r="75" spans="1:31" x14ac:dyDescent="0.25">
      <c r="A75" s="524"/>
      <c r="B75" s="524"/>
      <c r="C75" s="524"/>
      <c r="D75" s="526"/>
      <c r="E75" s="526"/>
      <c r="F75" s="526"/>
      <c r="G75" s="524"/>
      <c r="H75" s="542"/>
      <c r="I75" s="526"/>
      <c r="J75" s="526"/>
      <c r="K75" s="526"/>
      <c r="L75" s="524"/>
      <c r="M75" s="524"/>
    </row>
    <row r="76" spans="1:31" x14ac:dyDescent="0.25">
      <c r="A76" s="524"/>
      <c r="B76" s="524"/>
      <c r="C76" s="524"/>
      <c r="D76" s="526"/>
      <c r="E76" s="526"/>
      <c r="F76" s="526"/>
      <c r="G76" s="524"/>
      <c r="H76" s="542"/>
      <c r="I76" s="526"/>
      <c r="J76" s="526"/>
      <c r="K76" s="526"/>
      <c r="L76" s="524"/>
      <c r="M76" s="524"/>
    </row>
    <row r="77" spans="1:31" x14ac:dyDescent="0.25">
      <c r="A77" s="524"/>
      <c r="B77" s="524"/>
      <c r="C77" s="524"/>
      <c r="D77" s="526"/>
      <c r="E77" s="526"/>
      <c r="F77" s="526"/>
      <c r="G77" s="524"/>
      <c r="H77" s="542"/>
      <c r="I77" s="526"/>
      <c r="J77" s="526"/>
      <c r="K77" s="526"/>
      <c r="L77" s="524"/>
      <c r="M77" s="524"/>
    </row>
    <row r="78" spans="1:31" x14ac:dyDescent="0.25">
      <c r="A78" s="524"/>
      <c r="B78" s="524"/>
      <c r="C78" s="524"/>
      <c r="D78" s="526"/>
      <c r="E78" s="526"/>
      <c r="F78" s="526"/>
      <c r="G78" s="524"/>
      <c r="H78" s="542"/>
      <c r="I78" s="526"/>
      <c r="J78" s="526"/>
      <c r="K78" s="526"/>
      <c r="L78" s="524"/>
      <c r="M78" s="524"/>
    </row>
    <row r="79" spans="1:31" x14ac:dyDescent="0.25">
      <c r="A79" s="524"/>
      <c r="B79" s="524"/>
      <c r="C79" s="524"/>
      <c r="D79" s="526"/>
      <c r="E79" s="526"/>
      <c r="F79" s="526"/>
      <c r="G79" s="524"/>
      <c r="H79" s="542"/>
      <c r="I79" s="526"/>
      <c r="J79" s="526"/>
      <c r="K79" s="526"/>
      <c r="L79" s="524"/>
      <c r="M79" s="524"/>
    </row>
    <row r="80" spans="1:31" x14ac:dyDescent="0.25">
      <c r="A80" s="524"/>
      <c r="B80" s="524"/>
      <c r="C80" s="524"/>
      <c r="D80" s="526"/>
      <c r="E80" s="526"/>
      <c r="F80" s="526"/>
      <c r="G80" s="524"/>
      <c r="H80" s="542"/>
      <c r="I80" s="526"/>
      <c r="J80" s="526"/>
      <c r="K80" s="526"/>
      <c r="L80" s="524"/>
      <c r="M80" s="524"/>
    </row>
    <row r="81" spans="1:13" x14ac:dyDescent="0.25">
      <c r="A81" s="524"/>
      <c r="B81" s="524"/>
      <c r="C81" s="524"/>
      <c r="D81" s="526"/>
      <c r="E81" s="526"/>
      <c r="F81" s="526"/>
      <c r="G81" s="524"/>
      <c r="H81" s="542"/>
      <c r="I81" s="526"/>
      <c r="J81" s="526"/>
      <c r="K81" s="526"/>
      <c r="L81" s="524"/>
      <c r="M81" s="524"/>
    </row>
    <row r="82" spans="1:13" x14ac:dyDescent="0.25">
      <c r="A82" s="524"/>
      <c r="B82" s="524"/>
      <c r="C82" s="524"/>
      <c r="D82" s="526"/>
      <c r="E82" s="526"/>
      <c r="F82" s="526"/>
      <c r="G82" s="524"/>
      <c r="H82" s="542"/>
      <c r="I82" s="526"/>
      <c r="J82" s="526"/>
      <c r="K82" s="526"/>
      <c r="L82" s="524"/>
      <c r="M82" s="524"/>
    </row>
    <row r="83" spans="1:13" x14ac:dyDescent="0.25">
      <c r="A83" s="524"/>
      <c r="B83" s="524"/>
      <c r="C83" s="524"/>
      <c r="D83" s="526"/>
      <c r="E83" s="526"/>
      <c r="F83" s="526"/>
      <c r="G83" s="524"/>
      <c r="H83" s="524"/>
      <c r="I83" s="526"/>
      <c r="J83" s="526"/>
      <c r="K83" s="526"/>
      <c r="L83" s="524"/>
      <c r="M83" s="524"/>
    </row>
    <row r="84" spans="1:13" x14ac:dyDescent="0.25">
      <c r="A84" s="544" t="s">
        <v>81</v>
      </c>
      <c r="B84" s="545"/>
      <c r="C84" s="545">
        <f>SUM(C68:C72)</f>
        <v>65</v>
      </c>
      <c r="D84" s="546"/>
      <c r="E84" s="546"/>
      <c r="F84" s="546">
        <f>SUM(F68:F72)</f>
        <v>4547.6000000000004</v>
      </c>
      <c r="G84" s="545"/>
      <c r="H84" s="568">
        <f>SUM(H68:H71)</f>
        <v>65</v>
      </c>
      <c r="I84" s="546"/>
      <c r="J84" s="546"/>
      <c r="K84" s="546">
        <f>SUM(K68:K71)</f>
        <v>4695.8999999999996</v>
      </c>
      <c r="L84" s="545"/>
      <c r="M84" s="546">
        <f>SUM(M68:M76)</f>
        <v>10</v>
      </c>
    </row>
    <row r="85" spans="1:13" ht="15.75" thickBot="1" x14ac:dyDescent="0.3">
      <c r="A85" s="547" t="s">
        <v>197</v>
      </c>
      <c r="B85" s="548"/>
      <c r="C85" s="549">
        <f>SumByColor($A$19,C68:C83)</f>
        <v>0</v>
      </c>
      <c r="D85" s="549"/>
      <c r="E85" s="549"/>
      <c r="F85" s="550">
        <f>SumByColor($A$19,F68:F83)</f>
        <v>0</v>
      </c>
      <c r="G85" s="549"/>
      <c r="H85" s="549">
        <f>SumByColor($A$19,H68:H83)</f>
        <v>0</v>
      </c>
      <c r="I85" s="549"/>
      <c r="J85" s="549"/>
      <c r="K85" s="550">
        <f>SumByColor($A$19,K69:K83)</f>
        <v>0</v>
      </c>
      <c r="L85" s="549"/>
      <c r="M85" s="550">
        <f>SumByColor($A$19,M68:M83)</f>
        <v>0</v>
      </c>
    </row>
    <row r="88" spans="1:13" x14ac:dyDescent="0.25">
      <c r="B88" s="190" t="s">
        <v>114</v>
      </c>
      <c r="C88" s="190" t="s">
        <v>147</v>
      </c>
      <c r="D88" s="191" t="s">
        <v>146</v>
      </c>
      <c r="E88" s="193" t="s">
        <v>148</v>
      </c>
      <c r="F88" s="193" t="s">
        <v>65</v>
      </c>
      <c r="G88" s="228" t="s">
        <v>152</v>
      </c>
      <c r="H88" s="228" t="s">
        <v>88</v>
      </c>
      <c r="I88" s="228" t="s">
        <v>155</v>
      </c>
    </row>
    <row r="89" spans="1:13" x14ac:dyDescent="0.25">
      <c r="B89" s="192">
        <v>42619</v>
      </c>
      <c r="C89" s="10">
        <v>20</v>
      </c>
      <c r="D89" s="40">
        <v>72.08</v>
      </c>
      <c r="E89" s="40">
        <v>72</v>
      </c>
      <c r="F89" s="40">
        <f t="shared" ref="F89:F100" si="9">C89*(E89-D89)</f>
        <v>-1.5999999999999659</v>
      </c>
      <c r="G89" s="40">
        <f t="shared" ref="G89:G100" si="10">D89*C89</f>
        <v>1441.6</v>
      </c>
      <c r="H89" s="230">
        <f t="shared" ref="H89:H100" si="11">(E89-D89)/D89</f>
        <v>-1.1098779134294991E-3</v>
      </c>
      <c r="I89" s="40"/>
    </row>
    <row r="90" spans="1:13" x14ac:dyDescent="0.25">
      <c r="B90" s="192">
        <v>42620</v>
      </c>
      <c r="C90" s="10">
        <v>20</v>
      </c>
      <c r="D90" s="40">
        <v>72.08</v>
      </c>
      <c r="E90" s="40">
        <v>71.75</v>
      </c>
      <c r="F90" s="40">
        <f t="shared" si="9"/>
        <v>-6.5999999999999659</v>
      </c>
      <c r="G90" s="40">
        <f t="shared" si="10"/>
        <v>1441.6</v>
      </c>
      <c r="H90" s="230">
        <f t="shared" si="11"/>
        <v>-4.5782463928967579E-3</v>
      </c>
      <c r="I90" s="40"/>
    </row>
    <row r="91" spans="1:13" x14ac:dyDescent="0.25">
      <c r="B91" s="192">
        <v>42621</v>
      </c>
      <c r="C91" s="10">
        <v>40</v>
      </c>
      <c r="D91" s="40">
        <v>71.265000000000001</v>
      </c>
      <c r="E91" s="40">
        <v>70.67</v>
      </c>
      <c r="F91" s="40">
        <f t="shared" si="9"/>
        <v>-23.799999999999955</v>
      </c>
      <c r="G91" s="40">
        <f t="shared" si="10"/>
        <v>2850.6</v>
      </c>
      <c r="H91" s="230">
        <f t="shared" si="11"/>
        <v>-8.3491194836174676E-3</v>
      </c>
      <c r="I91" s="40"/>
    </row>
    <row r="92" spans="1:13" x14ac:dyDescent="0.25">
      <c r="B92" s="192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9"/>
        <v>9.8000000000001819</v>
      </c>
      <c r="G92" s="40">
        <f t="shared" si="10"/>
        <v>2850.6</v>
      </c>
      <c r="H92" s="230">
        <f t="shared" si="11"/>
        <v>3.4378727285484397E-3</v>
      </c>
      <c r="I92" s="40"/>
    </row>
    <row r="93" spans="1:13" x14ac:dyDescent="0.25">
      <c r="B93" s="192">
        <v>42628</v>
      </c>
      <c r="C93" s="10">
        <v>40</v>
      </c>
      <c r="D93" s="40">
        <v>71.265000000000001</v>
      </c>
      <c r="E93" s="40">
        <v>72.53</v>
      </c>
      <c r="F93" s="40">
        <f t="shared" si="9"/>
        <v>50.600000000000023</v>
      </c>
      <c r="G93" s="40">
        <f t="shared" si="10"/>
        <v>2850.6</v>
      </c>
      <c r="H93" s="230">
        <f t="shared" si="11"/>
        <v>1.7750648986178355E-2</v>
      </c>
      <c r="I93" s="40"/>
    </row>
    <row r="94" spans="1:13" x14ac:dyDescent="0.25">
      <c r="B94" s="192">
        <v>42641</v>
      </c>
      <c r="C94" s="10">
        <v>40</v>
      </c>
      <c r="D94" s="40">
        <v>71.265000000000001</v>
      </c>
      <c r="E94" s="40">
        <v>70.5</v>
      </c>
      <c r="F94" s="40">
        <f t="shared" si="9"/>
        <v>-30.600000000000023</v>
      </c>
      <c r="G94" s="40">
        <f t="shared" si="10"/>
        <v>2850.6</v>
      </c>
      <c r="H94" s="230">
        <f t="shared" si="11"/>
        <v>-1.0734582193222488E-2</v>
      </c>
      <c r="I94" s="40"/>
    </row>
    <row r="95" spans="1:13" x14ac:dyDescent="0.25">
      <c r="B95" s="192">
        <v>42647</v>
      </c>
      <c r="C95" s="10">
        <v>40</v>
      </c>
      <c r="D95" s="40">
        <v>71.265000000000001</v>
      </c>
      <c r="E95" s="40">
        <v>68.05</v>
      </c>
      <c r="F95" s="40">
        <f t="shared" si="9"/>
        <v>-128.60000000000014</v>
      </c>
      <c r="G95" s="40">
        <f t="shared" si="10"/>
        <v>2850.6</v>
      </c>
      <c r="H95" s="230">
        <f t="shared" si="11"/>
        <v>-4.5113309478706287E-2</v>
      </c>
      <c r="I95" s="40"/>
    </row>
    <row r="96" spans="1:13" x14ac:dyDescent="0.25">
      <c r="B96" s="192">
        <v>42648</v>
      </c>
      <c r="C96" s="10">
        <v>65</v>
      </c>
      <c r="D96" s="40">
        <v>69.809200000000004</v>
      </c>
      <c r="E96" s="40">
        <v>66.97</v>
      </c>
      <c r="F96" s="40">
        <f t="shared" si="9"/>
        <v>-184.54800000000034</v>
      </c>
      <c r="G96" s="40">
        <f t="shared" si="10"/>
        <v>4537.598</v>
      </c>
      <c r="H96" s="230">
        <f t="shared" si="11"/>
        <v>-4.0670857136308754E-2</v>
      </c>
      <c r="I96" s="40"/>
    </row>
    <row r="97" spans="2:9" x14ac:dyDescent="0.25">
      <c r="B97" s="192">
        <v>42649</v>
      </c>
      <c r="C97" s="10">
        <v>65</v>
      </c>
      <c r="D97" s="40">
        <v>69.809200000000004</v>
      </c>
      <c r="E97" s="40">
        <v>69.05</v>
      </c>
      <c r="F97" s="40">
        <f t="shared" si="9"/>
        <v>-49.348000000000454</v>
      </c>
      <c r="G97" s="40">
        <f t="shared" si="10"/>
        <v>4537.598</v>
      </c>
      <c r="H97" s="230">
        <f t="shared" si="11"/>
        <v>-1.0875357402749307E-2</v>
      </c>
      <c r="I97" s="40"/>
    </row>
    <row r="98" spans="2:9" x14ac:dyDescent="0.25">
      <c r="B98" s="192">
        <v>42650</v>
      </c>
      <c r="C98" s="10">
        <v>65</v>
      </c>
      <c r="D98" s="40">
        <v>69.809200000000004</v>
      </c>
      <c r="E98" s="40">
        <v>69.66</v>
      </c>
      <c r="F98" s="40">
        <f t="shared" si="9"/>
        <v>-9.6980000000004907</v>
      </c>
      <c r="G98" s="40">
        <f t="shared" si="10"/>
        <v>4537.598</v>
      </c>
      <c r="H98" s="230">
        <f t="shared" si="11"/>
        <v>-2.1372541155035086E-3</v>
      </c>
      <c r="I98" s="40"/>
    </row>
    <row r="99" spans="2:9" x14ac:dyDescent="0.25">
      <c r="B99" s="192">
        <v>42674</v>
      </c>
      <c r="C99" s="10">
        <v>65</v>
      </c>
      <c r="D99" s="40">
        <v>69.809200000000004</v>
      </c>
      <c r="E99" s="40">
        <v>69.09</v>
      </c>
      <c r="F99" s="40">
        <f t="shared" si="9"/>
        <v>-46.748000000000047</v>
      </c>
      <c r="G99" s="40">
        <f t="shared" si="10"/>
        <v>4537.598</v>
      </c>
      <c r="H99" s="230">
        <f t="shared" si="11"/>
        <v>-1.0302367023257689E-2</v>
      </c>
      <c r="I99" s="40"/>
    </row>
    <row r="100" spans="2:9" x14ac:dyDescent="0.25">
      <c r="B100" s="192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9"/>
        <v>-13.598000000000638</v>
      </c>
      <c r="G100" s="40">
        <f t="shared" si="10"/>
        <v>4537.598</v>
      </c>
      <c r="H100" s="230">
        <f t="shared" si="11"/>
        <v>-2.9967396847408339E-3</v>
      </c>
      <c r="I100" s="40"/>
    </row>
    <row r="101" spans="2:9" x14ac:dyDescent="0.25">
      <c r="B101" s="192">
        <v>42701</v>
      </c>
      <c r="C101" s="10">
        <v>0</v>
      </c>
      <c r="D101" s="40"/>
      <c r="E101" s="40"/>
      <c r="F101" s="40">
        <v>158.30000000000001</v>
      </c>
      <c r="G101" s="40"/>
      <c r="H101" s="230"/>
      <c r="I101" s="40"/>
    </row>
    <row r="102" spans="2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2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2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2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2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2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2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2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2:9" x14ac:dyDescent="0.25">
      <c r="B110" s="192"/>
      <c r="C110" s="10"/>
      <c r="D110" s="40"/>
      <c r="E110" s="40"/>
      <c r="F110" s="40"/>
      <c r="G110" s="40"/>
      <c r="H110" s="230"/>
      <c r="I110" s="40"/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91" priority="13">
      <formula>F47&gt;0</formula>
    </cfRule>
    <cfRule type="expression" dxfId="1090" priority="14">
      <formula>F47&lt;0</formula>
    </cfRule>
  </conditionalFormatting>
  <conditionalFormatting sqref="Q7">
    <cfRule type="expression" dxfId="1089" priority="11">
      <formula>Q7&gt;0</formula>
    </cfRule>
    <cfRule type="expression" dxfId="1088" priority="12">
      <formula>Q7&lt;0</formula>
    </cfRule>
  </conditionalFormatting>
  <conditionalFormatting sqref="Q8">
    <cfRule type="expression" dxfId="1087" priority="9">
      <formula>Q8&gt;0</formula>
    </cfRule>
    <cfRule type="expression" dxfId="1086" priority="10">
      <formula>Q8&lt;0</formula>
    </cfRule>
  </conditionalFormatting>
  <conditionalFormatting sqref="F25:F46">
    <cfRule type="expression" dxfId="1085" priority="7">
      <formula>F25&gt;0</formula>
    </cfRule>
    <cfRule type="expression" dxfId="1084" priority="8">
      <formula>F25&lt;0</formula>
    </cfRule>
  </conditionalFormatting>
  <conditionalFormatting sqref="H25:H46">
    <cfRule type="expression" dxfId="1083" priority="5">
      <formula>H25&gt;0</formula>
    </cfRule>
    <cfRule type="expression" dxfId="1082" priority="6">
      <formula>H25&lt;0</formula>
    </cfRule>
  </conditionalFormatting>
  <conditionalFormatting sqref="F89:F110">
    <cfRule type="expression" dxfId="1081" priority="3">
      <formula>F89&gt;0</formula>
    </cfRule>
    <cfRule type="expression" dxfId="1080" priority="4">
      <formula>F89&lt;0</formula>
    </cfRule>
  </conditionalFormatting>
  <conditionalFormatting sqref="H89:H110">
    <cfRule type="expression" dxfId="1079" priority="1">
      <formula>H89&gt;0</formula>
    </cfRule>
    <cfRule type="expression" dxfId="1078" priority="2">
      <formula>H89&lt;0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42797</v>
      </c>
      <c r="X2" s="362">
        <v>31.1</v>
      </c>
      <c r="Y2" s="40">
        <v>31.36</v>
      </c>
      <c r="Z2" s="40">
        <v>31.03</v>
      </c>
      <c r="AA2" s="362">
        <v>31.15</v>
      </c>
      <c r="AB2" s="94">
        <v>706300</v>
      </c>
      <c r="AC2" s="242">
        <v>31.15</v>
      </c>
      <c r="AD2" s="2">
        <f>Y2-Z2</f>
        <v>0.32999999999999829</v>
      </c>
      <c r="AE2" s="137">
        <f>AC2/AC3-1</f>
        <v>-7.9617834394904996E-3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30.85</v>
      </c>
      <c r="T3" s="120"/>
      <c r="W3" s="93">
        <v>42796</v>
      </c>
      <c r="X3" s="362">
        <v>31.54</v>
      </c>
      <c r="Y3" s="40">
        <v>31.54</v>
      </c>
      <c r="Z3" s="40">
        <v>31.24</v>
      </c>
      <c r="AA3" s="362">
        <v>31.4</v>
      </c>
      <c r="AB3" s="94">
        <v>283100</v>
      </c>
      <c r="AC3" s="242">
        <v>31.4</v>
      </c>
      <c r="AD3" s="2">
        <f>Y3-Z3</f>
        <v>0.30000000000000071</v>
      </c>
      <c r="AE3" s="137">
        <f>AC3/AC4-1</f>
        <v>-2.8580501746585663E-3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30.85</v>
      </c>
      <c r="R4" s="499">
        <v>1.9E-3</v>
      </c>
      <c r="T4" s="120"/>
      <c r="W4" s="93">
        <v>42795</v>
      </c>
      <c r="X4" s="362">
        <v>31.49</v>
      </c>
      <c r="Y4" s="40">
        <v>31.77</v>
      </c>
      <c r="Z4" s="40">
        <v>31.3</v>
      </c>
      <c r="AA4" s="362">
        <v>31.49</v>
      </c>
      <c r="AB4" s="94">
        <v>375800</v>
      </c>
      <c r="AC4" s="242">
        <v>31.49</v>
      </c>
      <c r="AD4" s="2">
        <f t="shared" ref="AD4:AD67" si="0">Y4-Z4</f>
        <v>0.46999999999999886</v>
      </c>
      <c r="AE4" s="137">
        <f t="shared" ref="AE4:AE67" si="1">AC4/AC5-1</f>
        <v>1.9090041361755627E-3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42794</v>
      </c>
      <c r="X5" s="362">
        <v>31.82</v>
      </c>
      <c r="Y5" s="40">
        <v>32.03</v>
      </c>
      <c r="Z5" s="40">
        <v>31.29</v>
      </c>
      <c r="AA5" s="362">
        <v>31.43</v>
      </c>
      <c r="AB5" s="94">
        <v>613700</v>
      </c>
      <c r="AC5" s="242">
        <v>31.43</v>
      </c>
      <c r="AD5" s="2">
        <f t="shared" si="0"/>
        <v>0.74000000000000199</v>
      </c>
      <c r="AE5" s="137">
        <f t="shared" si="1"/>
        <v>-1.9344773790951564E-2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42793</v>
      </c>
      <c r="X6" s="362">
        <v>31.32</v>
      </c>
      <c r="Y6" s="40">
        <v>32.07</v>
      </c>
      <c r="Z6" s="40">
        <v>31.18</v>
      </c>
      <c r="AA6" s="362">
        <v>32.049999999999997</v>
      </c>
      <c r="AB6" s="94">
        <v>922800</v>
      </c>
      <c r="AC6" s="242">
        <v>32.049999999999997</v>
      </c>
      <c r="AD6" s="2">
        <f t="shared" si="0"/>
        <v>0.89000000000000057</v>
      </c>
      <c r="AE6" s="137">
        <f t="shared" si="1"/>
        <v>2.2654754307594116E-2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171.89999999999964</v>
      </c>
      <c r="R7">
        <v>0</v>
      </c>
      <c r="T7" s="84"/>
      <c r="W7" s="93">
        <v>42790</v>
      </c>
      <c r="X7" s="362">
        <v>31.28</v>
      </c>
      <c r="Y7" s="40">
        <v>31.45</v>
      </c>
      <c r="Z7" s="40">
        <v>31.25</v>
      </c>
      <c r="AA7" s="362">
        <v>31.34</v>
      </c>
      <c r="AB7" s="94">
        <v>561000</v>
      </c>
      <c r="AC7" s="242">
        <v>31.34</v>
      </c>
      <c r="AD7" s="2">
        <f t="shared" si="0"/>
        <v>0.19999999999999929</v>
      </c>
      <c r="AE7" s="137">
        <f t="shared" si="1"/>
        <v>-3.1806615776082126E-3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42789</v>
      </c>
      <c r="X8" s="362">
        <v>31.69</v>
      </c>
      <c r="Y8" s="40">
        <v>31.82</v>
      </c>
      <c r="Z8" s="40">
        <v>31.39</v>
      </c>
      <c r="AA8" s="362">
        <v>31.44</v>
      </c>
      <c r="AB8" s="94">
        <v>553200</v>
      </c>
      <c r="AC8" s="242">
        <v>31.44</v>
      </c>
      <c r="AD8" s="2">
        <f t="shared" si="0"/>
        <v>0.42999999999999972</v>
      </c>
      <c r="AE8" s="137">
        <f t="shared" si="1"/>
        <v>-9.1396155058304229E-3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42788</v>
      </c>
      <c r="X9" s="362">
        <v>31.5</v>
      </c>
      <c r="Y9" s="40">
        <v>31.98</v>
      </c>
      <c r="Z9" s="40">
        <v>31.5</v>
      </c>
      <c r="AA9" s="362">
        <v>31.73</v>
      </c>
      <c r="AB9" s="94">
        <v>467100</v>
      </c>
      <c r="AC9" s="242">
        <v>31.73</v>
      </c>
      <c r="AD9" s="2">
        <f t="shared" si="0"/>
        <v>0.48000000000000043</v>
      </c>
      <c r="AE9" s="137">
        <f t="shared" si="1"/>
        <v>3.79626700411273E-3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171.89999999999964</v>
      </c>
      <c r="W10" s="93">
        <v>42787</v>
      </c>
      <c r="X10" s="362">
        <v>31.27</v>
      </c>
      <c r="Y10" s="40">
        <v>31.74</v>
      </c>
      <c r="Z10" s="40">
        <v>31.08</v>
      </c>
      <c r="AA10" s="362">
        <v>31.61</v>
      </c>
      <c r="AB10" s="94">
        <v>358700</v>
      </c>
      <c r="AC10" s="242">
        <v>31.61</v>
      </c>
      <c r="AD10" s="2">
        <f t="shared" si="0"/>
        <v>0.66000000000000014</v>
      </c>
      <c r="AE10" s="137">
        <f t="shared" si="1"/>
        <v>8.2934609250397973E-3</v>
      </c>
    </row>
    <row r="11" spans="1:40" x14ac:dyDescent="0.25">
      <c r="O11" s="11" t="s">
        <v>178</v>
      </c>
      <c r="Q11" s="137">
        <v>0</v>
      </c>
      <c r="W11" s="93">
        <v>42783</v>
      </c>
      <c r="X11" s="362">
        <v>31.19</v>
      </c>
      <c r="Y11" s="40">
        <v>31.41</v>
      </c>
      <c r="Z11" s="40">
        <v>30.97</v>
      </c>
      <c r="AA11" s="362">
        <v>31.35</v>
      </c>
      <c r="AB11" s="94">
        <v>416000</v>
      </c>
      <c r="AC11" s="242">
        <v>31.35</v>
      </c>
      <c r="AD11" s="2">
        <f t="shared" si="0"/>
        <v>0.44000000000000128</v>
      </c>
      <c r="AE11" s="137">
        <f t="shared" si="1"/>
        <v>4.8076923076922906E-3</v>
      </c>
      <c r="AK11" s="233"/>
      <c r="AN11" s="233"/>
    </row>
    <row r="12" spans="1:40" x14ac:dyDescent="0.25">
      <c r="W12" s="93">
        <v>42782</v>
      </c>
      <c r="X12" s="362">
        <v>31.56</v>
      </c>
      <c r="Y12" s="40">
        <v>31.61</v>
      </c>
      <c r="Z12" s="40">
        <v>31.06</v>
      </c>
      <c r="AA12" s="362">
        <v>31.2</v>
      </c>
      <c r="AB12" s="94">
        <v>459800</v>
      </c>
      <c r="AC12" s="242">
        <v>31.2</v>
      </c>
      <c r="AD12" s="2">
        <f t="shared" si="0"/>
        <v>0.55000000000000071</v>
      </c>
      <c r="AE12" s="137">
        <f t="shared" si="1"/>
        <v>-7.6335877862595547E-3</v>
      </c>
    </row>
    <row r="13" spans="1:40" x14ac:dyDescent="0.25">
      <c r="W13" s="93">
        <v>42781</v>
      </c>
      <c r="X13" s="362">
        <v>31.84</v>
      </c>
      <c r="Y13" s="40">
        <v>31.92</v>
      </c>
      <c r="Z13" s="40">
        <v>31.42</v>
      </c>
      <c r="AA13" s="362">
        <v>31.44</v>
      </c>
      <c r="AB13" s="94">
        <v>501300</v>
      </c>
      <c r="AC13" s="242">
        <v>31.44</v>
      </c>
      <c r="AD13" s="2">
        <f t="shared" si="0"/>
        <v>0.5</v>
      </c>
      <c r="AE13" s="137">
        <f t="shared" si="1"/>
        <v>-1.5962441314553932E-2</v>
      </c>
      <c r="AK13" s="233"/>
      <c r="AN13" s="233"/>
    </row>
    <row r="14" spans="1:40" x14ac:dyDescent="0.25">
      <c r="T14" s="83"/>
      <c r="U14" s="11"/>
      <c r="W14" s="93">
        <v>42780</v>
      </c>
      <c r="X14" s="362">
        <v>31.56</v>
      </c>
      <c r="Y14" s="40">
        <v>31.98</v>
      </c>
      <c r="Z14" s="40">
        <v>31.56</v>
      </c>
      <c r="AA14" s="362">
        <v>31.95</v>
      </c>
      <c r="AB14" s="94">
        <v>367800</v>
      </c>
      <c r="AC14" s="242">
        <v>31.95</v>
      </c>
      <c r="AD14" s="2">
        <f t="shared" si="0"/>
        <v>0.42000000000000171</v>
      </c>
      <c r="AE14" s="137">
        <f t="shared" si="1"/>
        <v>1.2678288431061668E-2</v>
      </c>
    </row>
    <row r="15" spans="1:40" x14ac:dyDescent="0.25">
      <c r="W15" s="93">
        <v>42779</v>
      </c>
      <c r="X15" s="362">
        <v>31.4</v>
      </c>
      <c r="Y15" s="40">
        <v>31.59</v>
      </c>
      <c r="Z15" s="40">
        <v>31.2</v>
      </c>
      <c r="AA15" s="362">
        <v>31.55</v>
      </c>
      <c r="AB15" s="94">
        <v>608400</v>
      </c>
      <c r="AC15" s="242">
        <v>31.55</v>
      </c>
      <c r="AD15" s="2">
        <f t="shared" si="0"/>
        <v>0.39000000000000057</v>
      </c>
      <c r="AE15" s="137">
        <f t="shared" si="1"/>
        <v>7.022023619533968E-3</v>
      </c>
      <c r="AK15" s="233"/>
      <c r="AN15" s="233"/>
    </row>
    <row r="16" spans="1:40" x14ac:dyDescent="0.25">
      <c r="W16" s="93">
        <v>42776</v>
      </c>
      <c r="X16" s="362">
        <v>31.47</v>
      </c>
      <c r="Y16" s="40">
        <v>31.64</v>
      </c>
      <c r="Z16" s="40">
        <v>31.04</v>
      </c>
      <c r="AA16" s="362">
        <v>31.33</v>
      </c>
      <c r="AB16" s="94">
        <v>491100</v>
      </c>
      <c r="AC16" s="242">
        <v>31.33</v>
      </c>
      <c r="AD16" s="2">
        <f t="shared" si="0"/>
        <v>0.60000000000000142</v>
      </c>
      <c r="AE16" s="137">
        <f t="shared" si="1"/>
        <v>-4.4486812837623013E-3</v>
      </c>
    </row>
    <row r="17" spans="1:40" x14ac:dyDescent="0.25">
      <c r="W17" s="93">
        <v>42775</v>
      </c>
      <c r="X17" s="362">
        <v>31.14</v>
      </c>
      <c r="Y17" s="40">
        <v>31.56</v>
      </c>
      <c r="Z17" s="40">
        <v>31.02</v>
      </c>
      <c r="AA17" s="362">
        <v>31.47</v>
      </c>
      <c r="AB17" s="94">
        <v>597900</v>
      </c>
      <c r="AC17" s="242">
        <v>31.47</v>
      </c>
      <c r="AD17" s="2">
        <f t="shared" si="0"/>
        <v>0.53999999999999915</v>
      </c>
      <c r="AE17" s="137">
        <f t="shared" si="1"/>
        <v>1.2548262548262468E-2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42774</v>
      </c>
      <c r="X18" s="362">
        <v>30.82</v>
      </c>
      <c r="Y18" s="40">
        <v>31.19</v>
      </c>
      <c r="Z18" s="40">
        <v>30.72</v>
      </c>
      <c r="AA18" s="362">
        <v>31.08</v>
      </c>
      <c r="AB18" s="94">
        <v>950100</v>
      </c>
      <c r="AC18" s="242">
        <v>31.08</v>
      </c>
      <c r="AD18" s="2">
        <f t="shared" si="0"/>
        <v>0.47000000000000242</v>
      </c>
      <c r="AE18" s="137">
        <f t="shared" si="1"/>
        <v>1.073170731707318E-2</v>
      </c>
    </row>
    <row r="19" spans="1:40" x14ac:dyDescent="0.25">
      <c r="W19" s="93">
        <v>42773</v>
      </c>
      <c r="X19" s="362">
        <v>31.54</v>
      </c>
      <c r="Y19" s="40">
        <v>31.9</v>
      </c>
      <c r="Z19" s="40">
        <v>29.15</v>
      </c>
      <c r="AA19" s="362">
        <v>30.75</v>
      </c>
      <c r="AB19" s="94">
        <v>2003200</v>
      </c>
      <c r="AC19" s="242">
        <v>30.75</v>
      </c>
      <c r="AD19" s="2">
        <f t="shared" si="0"/>
        <v>2.75</v>
      </c>
      <c r="AE19" s="137">
        <f t="shared" si="1"/>
        <v>-4.4437538844002478E-2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42772</v>
      </c>
      <c r="X20" s="362">
        <v>31.72</v>
      </c>
      <c r="Y20" s="40">
        <v>32.26</v>
      </c>
      <c r="Z20" s="40">
        <v>31.58</v>
      </c>
      <c r="AA20" s="362">
        <v>32.18</v>
      </c>
      <c r="AB20" s="94">
        <v>704900</v>
      </c>
      <c r="AC20" s="242">
        <v>32.18</v>
      </c>
      <c r="AD20" s="2">
        <f t="shared" si="0"/>
        <v>0.67999999999999972</v>
      </c>
      <c r="AE20" s="137">
        <f t="shared" si="1"/>
        <v>1.0678391959799027E-2</v>
      </c>
    </row>
    <row r="21" spans="1:40" x14ac:dyDescent="0.25">
      <c r="B21" s="192"/>
      <c r="C21" s="10"/>
      <c r="D21" s="40"/>
      <c r="E21" s="40"/>
      <c r="F21" s="40"/>
      <c r="G21" s="40"/>
      <c r="H21" s="230"/>
      <c r="I21" s="40"/>
      <c r="W21" s="93">
        <v>42769</v>
      </c>
      <c r="X21" s="362">
        <v>31.43</v>
      </c>
      <c r="Y21" s="40">
        <v>32.03</v>
      </c>
      <c r="Z21" s="40">
        <v>31.37</v>
      </c>
      <c r="AA21" s="362">
        <v>31.84</v>
      </c>
      <c r="AB21" s="94">
        <v>503400</v>
      </c>
      <c r="AC21" s="242">
        <v>31.84</v>
      </c>
      <c r="AD21" s="2">
        <f t="shared" si="0"/>
        <v>0.66000000000000014</v>
      </c>
      <c r="AE21" s="137">
        <f t="shared" si="1"/>
        <v>1.1435832274459878E-2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42768</v>
      </c>
      <c r="X22" s="362">
        <v>31.7</v>
      </c>
      <c r="Y22" s="40">
        <v>31.83</v>
      </c>
      <c r="Z22" s="40">
        <v>31.37</v>
      </c>
      <c r="AA22" s="362">
        <v>31.48</v>
      </c>
      <c r="AB22" s="94">
        <v>417200</v>
      </c>
      <c r="AC22" s="242">
        <v>31.48</v>
      </c>
      <c r="AD22" s="2">
        <f t="shared" si="0"/>
        <v>0.4599999999999973</v>
      </c>
      <c r="AE22" s="137">
        <f t="shared" si="1"/>
        <v>-5.3712480252764427E-3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42767</v>
      </c>
      <c r="X23" s="362">
        <v>31.89</v>
      </c>
      <c r="Y23" s="40">
        <v>32.17</v>
      </c>
      <c r="Z23" s="40">
        <v>31.47</v>
      </c>
      <c r="AA23" s="362">
        <v>31.65</v>
      </c>
      <c r="AB23" s="94">
        <v>357500</v>
      </c>
      <c r="AC23" s="242">
        <v>31.65</v>
      </c>
      <c r="AD23" s="2">
        <f t="shared" si="0"/>
        <v>0.70000000000000284</v>
      </c>
      <c r="AE23" s="137">
        <f t="shared" si="1"/>
        <v>-6.5913370998117449E-3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42766</v>
      </c>
      <c r="X24" s="362">
        <v>31.04</v>
      </c>
      <c r="Y24" s="40">
        <v>31.87</v>
      </c>
      <c r="Z24" s="40">
        <v>30.97</v>
      </c>
      <c r="AA24" s="362">
        <v>31.86</v>
      </c>
      <c r="AB24" s="94">
        <v>623000</v>
      </c>
      <c r="AC24" s="242">
        <v>31.86</v>
      </c>
      <c r="AD24" s="2">
        <f t="shared" si="0"/>
        <v>0.90000000000000213</v>
      </c>
      <c r="AE24" s="137">
        <f t="shared" si="1"/>
        <v>2.774193548387105E-2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42765</v>
      </c>
      <c r="X25" s="362">
        <v>31.05</v>
      </c>
      <c r="Y25" s="40">
        <v>31.15</v>
      </c>
      <c r="Z25" s="40">
        <v>30.82</v>
      </c>
      <c r="AA25" s="362">
        <v>31</v>
      </c>
      <c r="AB25" s="94">
        <v>453200</v>
      </c>
      <c r="AC25" s="242">
        <v>31</v>
      </c>
      <c r="AD25" s="2">
        <f t="shared" si="0"/>
        <v>0.32999999999999829</v>
      </c>
      <c r="AE25" s="137">
        <f t="shared" si="1"/>
        <v>-7.0467648942984518E-3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42762</v>
      </c>
      <c r="X26" s="362">
        <v>31.63</v>
      </c>
      <c r="Y26" s="40">
        <v>31.63</v>
      </c>
      <c r="Z26" s="40">
        <v>31.03</v>
      </c>
      <c r="AA26" s="362">
        <v>31.22</v>
      </c>
      <c r="AB26" s="94">
        <v>809200</v>
      </c>
      <c r="AC26" s="242">
        <v>31.22</v>
      </c>
      <c r="AD26" s="2">
        <f t="shared" si="0"/>
        <v>0.59999999999999787</v>
      </c>
      <c r="AE26" s="137">
        <f t="shared" si="1"/>
        <v>-9.2034274833386887E-3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42761</v>
      </c>
      <c r="X27" s="362">
        <v>31.42</v>
      </c>
      <c r="Y27" s="40">
        <v>31.8</v>
      </c>
      <c r="Z27" s="40">
        <v>31.27</v>
      </c>
      <c r="AA27" s="362">
        <v>31.51</v>
      </c>
      <c r="AB27" s="94">
        <v>839400</v>
      </c>
      <c r="AC27" s="242">
        <v>31.51</v>
      </c>
      <c r="AD27" s="2">
        <f t="shared" si="0"/>
        <v>0.53000000000000114</v>
      </c>
      <c r="AE27" s="137">
        <f t="shared" si="1"/>
        <v>3.5031847133759619E-3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42760</v>
      </c>
      <c r="X28" s="362">
        <v>31.65</v>
      </c>
      <c r="Y28" s="40">
        <v>31.83</v>
      </c>
      <c r="Z28" s="40">
        <v>31.38</v>
      </c>
      <c r="AA28" s="362">
        <v>31.4</v>
      </c>
      <c r="AB28" s="94">
        <v>807700</v>
      </c>
      <c r="AC28" s="242">
        <v>31.4</v>
      </c>
      <c r="AD28" s="2">
        <f t="shared" si="0"/>
        <v>0.44999999999999929</v>
      </c>
      <c r="AE28" s="137">
        <f t="shared" si="1"/>
        <v>-8.5254183770130387E-3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42759</v>
      </c>
      <c r="X29" s="362">
        <v>31.76</v>
      </c>
      <c r="Y29" s="40">
        <v>31.84</v>
      </c>
      <c r="Z29" s="40">
        <v>31.32</v>
      </c>
      <c r="AA29" s="362">
        <v>31.67</v>
      </c>
      <c r="AB29" s="94">
        <v>1254600</v>
      </c>
      <c r="AC29" s="242">
        <v>31.67</v>
      </c>
      <c r="AD29" s="2">
        <f t="shared" si="0"/>
        <v>0.51999999999999957</v>
      </c>
      <c r="AE29" s="137">
        <f t="shared" si="1"/>
        <v>-4.0880503144653524E-3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42758</v>
      </c>
      <c r="X30" s="362">
        <v>32.340000000000003</v>
      </c>
      <c r="Y30" s="40">
        <v>32.340000000000003</v>
      </c>
      <c r="Z30" s="40">
        <v>31.79</v>
      </c>
      <c r="AA30" s="362">
        <v>31.8</v>
      </c>
      <c r="AB30" s="94">
        <v>430400</v>
      </c>
      <c r="AC30" s="242">
        <v>31.8</v>
      </c>
      <c r="AD30" s="2">
        <f t="shared" si="0"/>
        <v>0.55000000000000426</v>
      </c>
      <c r="AE30" s="137">
        <f t="shared" si="1"/>
        <v>-1.8215498610682279E-2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42755</v>
      </c>
      <c r="X31" s="362">
        <v>32.5</v>
      </c>
      <c r="Y31" s="40">
        <v>32.56</v>
      </c>
      <c r="Z31" s="40">
        <v>32.29</v>
      </c>
      <c r="AA31" s="362">
        <v>32.39</v>
      </c>
      <c r="AB31" s="94">
        <v>214600</v>
      </c>
      <c r="AC31" s="242">
        <v>32.39</v>
      </c>
      <c r="AD31" s="2">
        <f t="shared" si="0"/>
        <v>0.27000000000000313</v>
      </c>
      <c r="AE31" s="137">
        <f t="shared" si="1"/>
        <v>1.2364760432765909E-3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42754</v>
      </c>
      <c r="X32" s="362">
        <v>32.69</v>
      </c>
      <c r="Y32" s="40">
        <v>32.79</v>
      </c>
      <c r="Z32" s="40">
        <v>32.33</v>
      </c>
      <c r="AA32" s="362">
        <v>32.35</v>
      </c>
      <c r="AB32" s="94">
        <v>347500</v>
      </c>
      <c r="AC32" s="242">
        <v>32.35</v>
      </c>
      <c r="AD32" s="2">
        <f t="shared" si="0"/>
        <v>0.46000000000000085</v>
      </c>
      <c r="AE32" s="137">
        <f t="shared" si="1"/>
        <v>-1.2816600549282908E-2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42753</v>
      </c>
      <c r="X33" s="362">
        <v>32.75</v>
      </c>
      <c r="Y33" s="40">
        <v>32.86</v>
      </c>
      <c r="Z33" s="40">
        <v>32.4</v>
      </c>
      <c r="AA33" s="362">
        <v>32.770000000000003</v>
      </c>
      <c r="AB33" s="94">
        <v>353000</v>
      </c>
      <c r="AC33" s="242">
        <v>32.770000000000003</v>
      </c>
      <c r="AD33" s="2">
        <f t="shared" si="0"/>
        <v>0.46000000000000085</v>
      </c>
      <c r="AE33" s="137">
        <f t="shared" si="1"/>
        <v>3.9828431372550543E-3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42752</v>
      </c>
      <c r="X34" s="362">
        <v>32.46</v>
      </c>
      <c r="Y34" s="40">
        <v>32.67</v>
      </c>
      <c r="Z34" s="40">
        <v>32.159999999999997</v>
      </c>
      <c r="AA34" s="362">
        <v>32.64</v>
      </c>
      <c r="AB34" s="94">
        <v>283300</v>
      </c>
      <c r="AC34" s="242">
        <v>32.64</v>
      </c>
      <c r="AD34" s="2">
        <f t="shared" si="0"/>
        <v>0.51000000000000512</v>
      </c>
      <c r="AE34" s="137">
        <f t="shared" si="1"/>
        <v>3.6900369003689537E-3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42748</v>
      </c>
      <c r="X35" s="362">
        <v>32.15</v>
      </c>
      <c r="Y35" s="40">
        <v>32.54</v>
      </c>
      <c r="Z35" s="40">
        <v>32.04</v>
      </c>
      <c r="AA35" s="362">
        <v>32.520000000000003</v>
      </c>
      <c r="AB35" s="94">
        <v>257000</v>
      </c>
      <c r="AC35" s="242">
        <v>32.520000000000003</v>
      </c>
      <c r="AD35" s="2">
        <f t="shared" si="0"/>
        <v>0.5</v>
      </c>
      <c r="AE35" s="137">
        <f t="shared" si="1"/>
        <v>1.2768607910308427E-2</v>
      </c>
    </row>
    <row r="36" spans="1:31" x14ac:dyDescent="0.25">
      <c r="W36" s="93">
        <v>42747</v>
      </c>
      <c r="X36" s="362">
        <v>31.7</v>
      </c>
      <c r="Y36" s="40">
        <v>32.15</v>
      </c>
      <c r="Z36" s="40">
        <v>31.61</v>
      </c>
      <c r="AA36" s="362">
        <v>32.11</v>
      </c>
      <c r="AB36" s="94">
        <v>244700</v>
      </c>
      <c r="AC36" s="242">
        <v>32.11</v>
      </c>
      <c r="AD36" s="2">
        <f t="shared" si="0"/>
        <v>0.53999999999999915</v>
      </c>
      <c r="AE36" s="137">
        <f t="shared" si="1"/>
        <v>8.1632653061223248E-3</v>
      </c>
    </row>
    <row r="37" spans="1:31" x14ac:dyDescent="0.25">
      <c r="L37" t="s">
        <v>212</v>
      </c>
      <c r="M37" s="2">
        <f>M55+K55-F55</f>
        <v>171.89999999999964</v>
      </c>
      <c r="W37" s="93">
        <v>42746</v>
      </c>
      <c r="X37" s="362">
        <v>32.090000000000003</v>
      </c>
      <c r="Y37" s="40">
        <v>32.24</v>
      </c>
      <c r="Z37" s="40">
        <v>31.69</v>
      </c>
      <c r="AA37" s="362">
        <v>31.85</v>
      </c>
      <c r="AB37" s="94">
        <v>292300</v>
      </c>
      <c r="AC37" s="242">
        <v>31.85</v>
      </c>
      <c r="AD37" s="2">
        <f t="shared" si="0"/>
        <v>0.55000000000000071</v>
      </c>
      <c r="AE37" s="137">
        <f t="shared" si="1"/>
        <v>-7.7881619937694158E-3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42745</v>
      </c>
      <c r="X38" s="362">
        <v>31.82</v>
      </c>
      <c r="Y38" s="40">
        <v>32.340000000000003</v>
      </c>
      <c r="Z38" s="40">
        <v>31.66</v>
      </c>
      <c r="AA38" s="362">
        <v>32.1</v>
      </c>
      <c r="AB38" s="94">
        <v>581000</v>
      </c>
      <c r="AC38" s="242">
        <v>32.1</v>
      </c>
      <c r="AD38" s="2">
        <f t="shared" si="0"/>
        <v>0.68000000000000327</v>
      </c>
      <c r="AE38" s="137">
        <f t="shared" si="1"/>
        <v>9.7514941805600941E-3</v>
      </c>
    </row>
    <row r="39" spans="1:31" ht="20.25" thickBot="1" x14ac:dyDescent="0.35">
      <c r="A39" s="264" t="s">
        <v>23</v>
      </c>
      <c r="B39" s="265">
        <v>42619</v>
      </c>
      <c r="C39" s="260">
        <v>50</v>
      </c>
      <c r="D39" s="261">
        <v>31.18</v>
      </c>
      <c r="E39" s="261">
        <v>0</v>
      </c>
      <c r="F39" s="261">
        <f>D39*C39+E39</f>
        <v>1559</v>
      </c>
      <c r="G39" s="265">
        <v>42741</v>
      </c>
      <c r="H39" s="260">
        <v>50</v>
      </c>
      <c r="I39" s="261">
        <v>31.62</v>
      </c>
      <c r="J39" s="261">
        <v>0.03</v>
      </c>
      <c r="K39" s="261">
        <f>I39*H39-J39</f>
        <v>1580.97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42744</v>
      </c>
      <c r="X39" s="362">
        <v>31.86</v>
      </c>
      <c r="Y39" s="40">
        <v>31.97</v>
      </c>
      <c r="Z39" s="40">
        <v>31.62</v>
      </c>
      <c r="AA39" s="362">
        <v>31.79</v>
      </c>
      <c r="AB39" s="94">
        <v>678600</v>
      </c>
      <c r="AC39" s="242">
        <v>31.79</v>
      </c>
      <c r="AD39" s="2">
        <f t="shared" si="0"/>
        <v>0.34999999999999787</v>
      </c>
      <c r="AE39" s="137">
        <f t="shared" si="1"/>
        <v>-6.2873310279787376E-4</v>
      </c>
    </row>
    <row r="40" spans="1:31" ht="15.75" thickTop="1" x14ac:dyDescent="0.25">
      <c r="A40" s="267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60"/>
      <c r="O40" s="2"/>
      <c r="P40" s="82">
        <v>1.1000000000000001</v>
      </c>
      <c r="Q40" s="82">
        <f>P40*$Q$4</f>
        <v>33.935000000000002</v>
      </c>
      <c r="R40" s="34"/>
      <c r="T40" s="96" t="s">
        <v>98</v>
      </c>
      <c r="U40" s="128">
        <v>31.4</v>
      </c>
      <c r="W40" s="93">
        <v>42741</v>
      </c>
      <c r="X40" s="362">
        <v>31.12</v>
      </c>
      <c r="Y40" s="40">
        <v>31.82</v>
      </c>
      <c r="Z40" s="40">
        <v>31</v>
      </c>
      <c r="AA40" s="362">
        <v>31.81</v>
      </c>
      <c r="AB40" s="94">
        <v>376900</v>
      </c>
      <c r="AC40" s="242">
        <v>31.81</v>
      </c>
      <c r="AD40" s="2">
        <f t="shared" si="0"/>
        <v>0.82000000000000028</v>
      </c>
      <c r="AE40" s="137">
        <f t="shared" si="1"/>
        <v>2.2172236503855913E-2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2">P41*$Q$4</f>
        <v>33.626500000000007</v>
      </c>
      <c r="R41" s="34"/>
      <c r="T41" s="86" t="s">
        <v>99</v>
      </c>
      <c r="U41" s="129">
        <v>31.1</v>
      </c>
      <c r="W41" s="93">
        <v>42740</v>
      </c>
      <c r="X41" s="362">
        <v>31.12</v>
      </c>
      <c r="Y41" s="40">
        <v>31.55</v>
      </c>
      <c r="Z41" s="40">
        <v>31.03</v>
      </c>
      <c r="AA41" s="362">
        <v>31.12</v>
      </c>
      <c r="AB41" s="94">
        <v>871500</v>
      </c>
      <c r="AC41" s="242">
        <v>31.12</v>
      </c>
      <c r="AD41" s="2">
        <f t="shared" si="0"/>
        <v>0.51999999999999957</v>
      </c>
      <c r="AE41" s="137">
        <f t="shared" si="1"/>
        <v>3.2144005143042165E-4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2"/>
        <v>33.318000000000005</v>
      </c>
      <c r="R42" s="34"/>
      <c r="T42" s="86" t="s">
        <v>100</v>
      </c>
      <c r="U42" s="129" t="s">
        <v>496</v>
      </c>
      <c r="W42" s="93">
        <v>42739</v>
      </c>
      <c r="X42" s="362">
        <v>31.05</v>
      </c>
      <c r="Y42" s="40">
        <v>31.65</v>
      </c>
      <c r="Z42" s="40">
        <v>30.96</v>
      </c>
      <c r="AA42" s="362">
        <v>31.11</v>
      </c>
      <c r="AB42" s="94">
        <v>895800</v>
      </c>
      <c r="AC42" s="242">
        <v>31.11</v>
      </c>
      <c r="AD42" s="2">
        <f t="shared" si="0"/>
        <v>0.68999999999999773</v>
      </c>
      <c r="AE42" s="137">
        <f t="shared" si="1"/>
        <v>9.6525096525090781E-4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2"/>
        <v>33.009500000000003</v>
      </c>
      <c r="R43" s="82"/>
      <c r="T43" s="86" t="s">
        <v>101</v>
      </c>
      <c r="U43" s="129" t="s">
        <v>512</v>
      </c>
      <c r="W43" s="93">
        <v>42738</v>
      </c>
      <c r="X43" s="362">
        <v>30.41</v>
      </c>
      <c r="Y43" s="40">
        <v>31.08</v>
      </c>
      <c r="Z43" s="40">
        <v>30.26</v>
      </c>
      <c r="AA43" s="362">
        <v>31.08</v>
      </c>
      <c r="AB43" s="94">
        <v>572200</v>
      </c>
      <c r="AC43" s="242">
        <v>31.08</v>
      </c>
      <c r="AD43" s="2">
        <f t="shared" si="0"/>
        <v>0.81999999999999673</v>
      </c>
      <c r="AE43" s="137">
        <f t="shared" si="1"/>
        <v>2.3715415019762709E-2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2"/>
        <v>32.701000000000001</v>
      </c>
      <c r="R44" s="82"/>
      <c r="T44" s="86" t="s">
        <v>102</v>
      </c>
      <c r="U44" s="129">
        <v>36.93</v>
      </c>
      <c r="W44" s="93">
        <v>42734</v>
      </c>
      <c r="X44" s="362">
        <v>30.42</v>
      </c>
      <c r="Y44" s="40">
        <v>30.48</v>
      </c>
      <c r="Z44" s="40">
        <v>30.21</v>
      </c>
      <c r="AA44" s="362">
        <v>30.36</v>
      </c>
      <c r="AB44" s="94">
        <v>304700</v>
      </c>
      <c r="AC44" s="242">
        <v>30.36</v>
      </c>
      <c r="AD44" s="2">
        <f t="shared" si="0"/>
        <v>0.26999999999999957</v>
      </c>
      <c r="AE44" s="137">
        <f t="shared" si="1"/>
        <v>-2.3003614853762677E-3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2"/>
        <v>32.392500000000005</v>
      </c>
      <c r="R45" s="82"/>
      <c r="T45" s="86" t="s">
        <v>103</v>
      </c>
      <c r="U45" s="129">
        <v>0.44903300000000002</v>
      </c>
      <c r="W45" s="93">
        <v>42733</v>
      </c>
      <c r="X45" s="362">
        <v>30.22</v>
      </c>
      <c r="Y45" s="40">
        <v>30.62</v>
      </c>
      <c r="Z45" s="40">
        <v>30.22</v>
      </c>
      <c r="AA45" s="362">
        <v>30.43</v>
      </c>
      <c r="AB45" s="94">
        <v>182900</v>
      </c>
      <c r="AC45" s="242">
        <v>30.43</v>
      </c>
      <c r="AD45" s="2">
        <f t="shared" si="0"/>
        <v>0.40000000000000213</v>
      </c>
      <c r="AE45" s="137">
        <f t="shared" si="1"/>
        <v>4.6219874546054029E-3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2"/>
        <v>32.084000000000003</v>
      </c>
      <c r="R46" s="82"/>
      <c r="T46" s="86" t="s">
        <v>122</v>
      </c>
      <c r="U46" s="231" t="s">
        <v>478</v>
      </c>
      <c r="W46" s="93">
        <v>42732</v>
      </c>
      <c r="X46" s="362">
        <v>30.73</v>
      </c>
      <c r="Y46" s="40">
        <v>30.81</v>
      </c>
      <c r="Z46" s="40">
        <v>30.21</v>
      </c>
      <c r="AA46" s="362">
        <v>30.29</v>
      </c>
      <c r="AB46" s="94">
        <v>239500</v>
      </c>
      <c r="AC46" s="242">
        <v>30.29</v>
      </c>
      <c r="AD46" s="2">
        <f t="shared" si="0"/>
        <v>0.59999999999999787</v>
      </c>
      <c r="AE46" s="137">
        <f t="shared" si="1"/>
        <v>-1.1422976501305526E-2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2"/>
        <v>31.775500000000001</v>
      </c>
      <c r="R47" s="82"/>
      <c r="T47" s="86"/>
      <c r="U47" s="129"/>
      <c r="W47" s="93">
        <v>42731</v>
      </c>
      <c r="X47" s="362">
        <v>30.47</v>
      </c>
      <c r="Y47" s="40">
        <v>30.85</v>
      </c>
      <c r="Z47" s="40">
        <v>30.32</v>
      </c>
      <c r="AA47" s="362">
        <v>30.64</v>
      </c>
      <c r="AB47" s="94">
        <v>319600</v>
      </c>
      <c r="AC47" s="242">
        <v>30.64</v>
      </c>
      <c r="AD47" s="2">
        <f t="shared" si="0"/>
        <v>0.53000000000000114</v>
      </c>
      <c r="AE47" s="137">
        <f t="shared" si="1"/>
        <v>1.1221122112211157E-2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2"/>
        <v>31.467000000000002</v>
      </c>
      <c r="R48" s="82"/>
      <c r="T48" s="86" t="s">
        <v>105</v>
      </c>
      <c r="U48" s="129" t="s">
        <v>605</v>
      </c>
      <c r="W48" s="93">
        <v>42727</v>
      </c>
      <c r="X48" s="362">
        <v>30.55</v>
      </c>
      <c r="Y48" s="40">
        <v>30.58</v>
      </c>
      <c r="Z48" s="40">
        <v>30.09</v>
      </c>
      <c r="AA48" s="362">
        <v>30.3</v>
      </c>
      <c r="AB48" s="94">
        <v>352300</v>
      </c>
      <c r="AC48" s="242">
        <v>30.3</v>
      </c>
      <c r="AD48" s="2">
        <f t="shared" si="0"/>
        <v>0.48999999999999844</v>
      </c>
      <c r="AE48" s="137">
        <f t="shared" si="1"/>
        <v>-4.5992115637319975E-3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2"/>
        <v>31.1585</v>
      </c>
      <c r="R49" s="82"/>
      <c r="T49" s="86" t="s">
        <v>106</v>
      </c>
      <c r="U49" s="129" t="s">
        <v>363</v>
      </c>
      <c r="W49" s="93">
        <v>42726</v>
      </c>
      <c r="X49" s="362">
        <v>30.35</v>
      </c>
      <c r="Y49" s="40">
        <v>30.5</v>
      </c>
      <c r="Z49" s="40">
        <v>30.14</v>
      </c>
      <c r="AA49" s="362">
        <v>30.44</v>
      </c>
      <c r="AB49" s="94">
        <v>489600</v>
      </c>
      <c r="AC49" s="242">
        <v>30.44</v>
      </c>
      <c r="AD49" s="2">
        <f t="shared" si="0"/>
        <v>0.35999999999999943</v>
      </c>
      <c r="AE49" s="137">
        <f t="shared" si="1"/>
        <v>0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2"/>
        <v>30.85</v>
      </c>
      <c r="R50" s="82"/>
      <c r="T50" s="86" t="s">
        <v>107</v>
      </c>
      <c r="U50" s="130">
        <v>706276</v>
      </c>
      <c r="W50" s="93">
        <v>42725</v>
      </c>
      <c r="X50" s="362">
        <v>30.31</v>
      </c>
      <c r="Y50" s="40">
        <v>30.62</v>
      </c>
      <c r="Z50" s="40">
        <v>30.08</v>
      </c>
      <c r="AA50" s="362">
        <v>30.44</v>
      </c>
      <c r="AB50" s="94">
        <v>338700</v>
      </c>
      <c r="AC50" s="242">
        <v>30.44</v>
      </c>
      <c r="AD50" s="2">
        <f t="shared" si="0"/>
        <v>0.5400000000000027</v>
      </c>
      <c r="AE50" s="137">
        <f t="shared" si="1"/>
        <v>5.94844679444817E-3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2"/>
        <v>30.541500000000003</v>
      </c>
      <c r="R51" s="82"/>
      <c r="T51" s="86" t="s">
        <v>110</v>
      </c>
      <c r="U51" s="130">
        <v>546121</v>
      </c>
      <c r="W51" s="93">
        <v>42724</v>
      </c>
      <c r="X51" s="362">
        <v>30.54</v>
      </c>
      <c r="Y51" s="40">
        <v>30.84</v>
      </c>
      <c r="Z51" s="40">
        <v>30.09</v>
      </c>
      <c r="AA51" s="362">
        <v>30.26</v>
      </c>
      <c r="AB51" s="94">
        <v>289800</v>
      </c>
      <c r="AC51" s="242">
        <v>30.26</v>
      </c>
      <c r="AD51" s="2">
        <f t="shared" si="0"/>
        <v>0.75</v>
      </c>
      <c r="AE51" s="137">
        <f t="shared" si="1"/>
        <v>-9.1683038637850878E-3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2"/>
        <v>30.233000000000001</v>
      </c>
      <c r="R52" s="82"/>
      <c r="T52" s="86" t="s">
        <v>108</v>
      </c>
      <c r="U52" s="129" t="s">
        <v>606</v>
      </c>
      <c r="W52" s="93">
        <v>42723</v>
      </c>
      <c r="X52" s="362">
        <v>30.76</v>
      </c>
      <c r="Y52" s="40">
        <v>30.93</v>
      </c>
      <c r="Z52" s="40">
        <v>30.47</v>
      </c>
      <c r="AA52" s="362">
        <v>30.54</v>
      </c>
      <c r="AB52" s="94">
        <v>549700</v>
      </c>
      <c r="AC52" s="242">
        <v>30.54</v>
      </c>
      <c r="AD52" s="2">
        <f t="shared" si="0"/>
        <v>0.46000000000000085</v>
      </c>
      <c r="AE52" s="137">
        <f t="shared" si="1"/>
        <v>-8.7633885102239573E-3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2"/>
        <v>29.924500000000002</v>
      </c>
      <c r="R53" s="82"/>
      <c r="T53" s="86" t="s">
        <v>111</v>
      </c>
      <c r="U53" s="129">
        <v>15.03</v>
      </c>
      <c r="W53" s="93">
        <v>42720</v>
      </c>
      <c r="X53" s="362">
        <v>30.76</v>
      </c>
      <c r="Y53" s="40">
        <v>31.15</v>
      </c>
      <c r="Z53" s="40">
        <v>30.69</v>
      </c>
      <c r="AA53" s="362">
        <v>30.81</v>
      </c>
      <c r="AB53" s="94">
        <v>814100</v>
      </c>
      <c r="AC53" s="242">
        <v>30.81</v>
      </c>
      <c r="AD53" s="2">
        <f t="shared" si="0"/>
        <v>0.4599999999999973</v>
      </c>
      <c r="AE53" s="137">
        <f t="shared" si="1"/>
        <v>-1.6202203499676715E-3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2"/>
        <v>29.616</v>
      </c>
      <c r="R54" s="82"/>
      <c r="T54" s="86" t="s">
        <v>112</v>
      </c>
      <c r="U54" s="129">
        <v>2.0699999999999998</v>
      </c>
      <c r="W54" s="93">
        <v>42719</v>
      </c>
      <c r="X54" s="362">
        <v>31.01</v>
      </c>
      <c r="Y54" s="40">
        <v>31.2</v>
      </c>
      <c r="Z54" s="40">
        <v>30.8</v>
      </c>
      <c r="AA54" s="362">
        <v>30.86</v>
      </c>
      <c r="AB54" s="94">
        <v>657500</v>
      </c>
      <c r="AC54" s="242">
        <v>30.86</v>
      </c>
      <c r="AD54" s="2">
        <f t="shared" si="0"/>
        <v>0.39999999999999858</v>
      </c>
      <c r="AE54" s="137">
        <f t="shared" si="1"/>
        <v>-6.4766839378238572E-4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29.307500000000001</v>
      </c>
      <c r="R55" s="82"/>
      <c r="T55" s="86" t="s">
        <v>109</v>
      </c>
      <c r="U55" s="129" t="s">
        <v>123</v>
      </c>
      <c r="W55" s="93">
        <v>42718</v>
      </c>
      <c r="X55" s="362">
        <v>31.26</v>
      </c>
      <c r="Y55" s="40">
        <v>31.26</v>
      </c>
      <c r="Z55" s="40">
        <v>30.83</v>
      </c>
      <c r="AA55" s="362">
        <v>30.88</v>
      </c>
      <c r="AB55" s="94">
        <v>523200</v>
      </c>
      <c r="AC55" s="242">
        <v>30.88</v>
      </c>
      <c r="AD55" s="2">
        <f t="shared" si="0"/>
        <v>0.43000000000000327</v>
      </c>
      <c r="AE55" s="137">
        <f t="shared" si="1"/>
        <v>-1.2156110044785784E-2</v>
      </c>
    </row>
    <row r="56" spans="1:31" x14ac:dyDescent="0.25">
      <c r="O56" s="2"/>
      <c r="P56" s="82">
        <v>0.94</v>
      </c>
      <c r="Q56" s="82">
        <f t="shared" si="2"/>
        <v>28.998999999999999</v>
      </c>
      <c r="R56" s="82"/>
      <c r="W56" s="93">
        <v>42717</v>
      </c>
      <c r="X56" s="362">
        <v>31.31</v>
      </c>
      <c r="Y56" s="40">
        <v>31.47</v>
      </c>
      <c r="Z56" s="40">
        <v>31.09</v>
      </c>
      <c r="AA56" s="362">
        <v>31.26</v>
      </c>
      <c r="AB56" s="94">
        <v>642300</v>
      </c>
      <c r="AC56" s="242">
        <v>31.26</v>
      </c>
      <c r="AD56" s="2">
        <f t="shared" si="0"/>
        <v>0.37999999999999901</v>
      </c>
      <c r="AE56" s="137">
        <f t="shared" si="1"/>
        <v>-1.9157088122604415E-3</v>
      </c>
    </row>
    <row r="57" spans="1:31" x14ac:dyDescent="0.25">
      <c r="O57" s="2"/>
      <c r="P57" s="82">
        <v>0.93</v>
      </c>
      <c r="Q57" s="82">
        <f t="shared" si="2"/>
        <v>28.690500000000004</v>
      </c>
      <c r="R57" s="82"/>
      <c r="W57" s="93">
        <v>42716</v>
      </c>
      <c r="X57" s="362">
        <v>31.25</v>
      </c>
      <c r="Y57" s="40">
        <v>31.48</v>
      </c>
      <c r="Z57" s="40">
        <v>31.23</v>
      </c>
      <c r="AA57" s="362">
        <v>31.32</v>
      </c>
      <c r="AB57" s="94">
        <v>279000</v>
      </c>
      <c r="AC57" s="242">
        <v>31.32</v>
      </c>
      <c r="AD57" s="2">
        <f t="shared" si="0"/>
        <v>0.25</v>
      </c>
      <c r="AE57" s="137">
        <f t="shared" si="1"/>
        <v>1.9193857965451588E-3</v>
      </c>
    </row>
    <row r="58" spans="1:31" x14ac:dyDescent="0.25">
      <c r="O58" s="2"/>
      <c r="P58" s="82">
        <v>0.92</v>
      </c>
      <c r="Q58" s="82">
        <f t="shared" si="2"/>
        <v>28.382000000000001</v>
      </c>
      <c r="R58" s="82"/>
      <c r="W58" s="93">
        <v>42713</v>
      </c>
      <c r="X58" s="362">
        <v>30.8</v>
      </c>
      <c r="Y58" s="40">
        <v>31.43</v>
      </c>
      <c r="Z58" s="40">
        <v>30.75</v>
      </c>
      <c r="AA58" s="362">
        <v>31.26</v>
      </c>
      <c r="AB58" s="94">
        <v>561600</v>
      </c>
      <c r="AC58" s="242">
        <v>31.26</v>
      </c>
      <c r="AD58" s="2">
        <f t="shared" si="0"/>
        <v>0.67999999999999972</v>
      </c>
      <c r="AE58" s="137">
        <f t="shared" si="1"/>
        <v>1.5264696329977401E-2</v>
      </c>
    </row>
    <row r="59" spans="1:31" x14ac:dyDescent="0.25">
      <c r="B59" s="190" t="s">
        <v>114</v>
      </c>
      <c r="C59" s="190" t="s">
        <v>147</v>
      </c>
      <c r="D59" s="191" t="s">
        <v>146</v>
      </c>
      <c r="E59" s="193" t="s">
        <v>148</v>
      </c>
      <c r="F59" s="193" t="s">
        <v>65</v>
      </c>
      <c r="G59" s="228" t="s">
        <v>152</v>
      </c>
      <c r="H59" s="228" t="s">
        <v>88</v>
      </c>
      <c r="I59" s="228" t="s">
        <v>155</v>
      </c>
      <c r="O59" s="2"/>
      <c r="P59" s="82">
        <v>0.91</v>
      </c>
      <c r="Q59" s="82">
        <f t="shared" si="2"/>
        <v>28.073500000000003</v>
      </c>
      <c r="R59" s="82"/>
      <c r="W59" s="93">
        <v>42712</v>
      </c>
      <c r="X59" s="362">
        <v>30.22</v>
      </c>
      <c r="Y59" s="40">
        <v>30.97</v>
      </c>
      <c r="Z59" s="40">
        <v>30.13</v>
      </c>
      <c r="AA59" s="362">
        <v>30.79</v>
      </c>
      <c r="AB59" s="94">
        <v>496600</v>
      </c>
      <c r="AC59" s="242">
        <v>30.79</v>
      </c>
      <c r="AD59" s="2">
        <f t="shared" si="0"/>
        <v>0.83999999999999986</v>
      </c>
      <c r="AE59" s="137">
        <f t="shared" si="1"/>
        <v>2.1905077995353572E-2</v>
      </c>
    </row>
    <row r="60" spans="1:31" x14ac:dyDescent="0.25">
      <c r="B60" s="265">
        <v>42619</v>
      </c>
      <c r="C60" s="260">
        <v>50</v>
      </c>
      <c r="D60" s="261">
        <v>31.18</v>
      </c>
      <c r="E60" s="261">
        <v>31.29</v>
      </c>
      <c r="F60" s="261">
        <f t="shared" ref="F60:F65" si="3">C60*(E60-D60)</f>
        <v>5.4999999999999716</v>
      </c>
      <c r="G60" s="261">
        <f t="shared" ref="G60:G65" si="4">D60*C60</f>
        <v>1559</v>
      </c>
      <c r="H60" s="275">
        <f t="shared" ref="H60:H65" si="5">(E60-D60)/D60</f>
        <v>3.5279025016035736E-3</v>
      </c>
      <c r="I60" s="261"/>
      <c r="O60" s="2"/>
      <c r="P60" s="82">
        <v>0.9</v>
      </c>
      <c r="Q60" s="82">
        <f t="shared" si="2"/>
        <v>27.765000000000001</v>
      </c>
      <c r="R60" s="82"/>
      <c r="W60" s="93">
        <v>42711</v>
      </c>
      <c r="X60" s="362">
        <v>30.2</v>
      </c>
      <c r="Y60" s="40">
        <v>30.31</v>
      </c>
      <c r="Z60" s="40">
        <v>29.89</v>
      </c>
      <c r="AA60" s="362">
        <v>30.13</v>
      </c>
      <c r="AB60" s="94">
        <v>468500</v>
      </c>
      <c r="AC60" s="242">
        <v>30.13</v>
      </c>
      <c r="AD60" s="2">
        <f t="shared" si="0"/>
        <v>0.41999999999999815</v>
      </c>
      <c r="AE60" s="137">
        <f t="shared" si="1"/>
        <v>-3.3079722130334721E-3</v>
      </c>
    </row>
    <row r="61" spans="1:31" x14ac:dyDescent="0.25">
      <c r="B61" s="265">
        <v>42620</v>
      </c>
      <c r="C61" s="260">
        <v>50</v>
      </c>
      <c r="D61" s="261">
        <v>31.18</v>
      </c>
      <c r="E61" s="261">
        <v>31.51</v>
      </c>
      <c r="F61" s="261">
        <f t="shared" si="3"/>
        <v>16.500000000000092</v>
      </c>
      <c r="G61" s="261">
        <f t="shared" si="4"/>
        <v>1559</v>
      </c>
      <c r="H61" s="275">
        <f t="shared" si="5"/>
        <v>1.0583707504810835E-2</v>
      </c>
      <c r="I61" s="261"/>
      <c r="W61" s="93">
        <v>42710</v>
      </c>
      <c r="X61" s="362">
        <v>29.94</v>
      </c>
      <c r="Y61" s="40">
        <v>30.43</v>
      </c>
      <c r="Z61" s="40">
        <v>29.91</v>
      </c>
      <c r="AA61" s="362">
        <v>30.23</v>
      </c>
      <c r="AB61" s="94">
        <v>457900</v>
      </c>
      <c r="AC61" s="242">
        <v>30.23</v>
      </c>
      <c r="AD61" s="2">
        <f t="shared" si="0"/>
        <v>0.51999999999999957</v>
      </c>
      <c r="AE61" s="137">
        <f t="shared" si="1"/>
        <v>1.4429530201342189E-2</v>
      </c>
    </row>
    <row r="62" spans="1:31" x14ac:dyDescent="0.25">
      <c r="B62" s="265">
        <v>42621</v>
      </c>
      <c r="C62" s="260">
        <v>50</v>
      </c>
      <c r="D62" s="261">
        <v>31.18</v>
      </c>
      <c r="E62" s="261">
        <v>31.65</v>
      </c>
      <c r="F62" s="261">
        <f t="shared" si="3"/>
        <v>23.499999999999943</v>
      </c>
      <c r="G62" s="261">
        <f t="shared" si="4"/>
        <v>1559</v>
      </c>
      <c r="H62" s="275">
        <f t="shared" si="5"/>
        <v>1.5073765234124403E-2</v>
      </c>
      <c r="I62" s="261"/>
      <c r="W62" s="93">
        <v>42709</v>
      </c>
      <c r="X62" s="362">
        <v>29.55</v>
      </c>
      <c r="Y62" s="40">
        <v>29.96</v>
      </c>
      <c r="Z62" s="40">
        <v>29.38</v>
      </c>
      <c r="AA62" s="362">
        <v>29.8</v>
      </c>
      <c r="AB62" s="94">
        <v>523600</v>
      </c>
      <c r="AC62" s="242">
        <v>29.8</v>
      </c>
      <c r="AD62" s="2">
        <f t="shared" si="0"/>
        <v>0.58000000000000185</v>
      </c>
      <c r="AE62" s="137">
        <f t="shared" si="1"/>
        <v>1.4295439074200278E-2</v>
      </c>
    </row>
    <row r="63" spans="1:31" x14ac:dyDescent="0.25">
      <c r="B63" s="265">
        <v>42622</v>
      </c>
      <c r="C63" s="260">
        <v>50</v>
      </c>
      <c r="D63" s="261">
        <v>31.18</v>
      </c>
      <c r="E63" s="261">
        <v>31.5</v>
      </c>
      <c r="F63" s="261">
        <f t="shared" si="3"/>
        <v>16.000000000000014</v>
      </c>
      <c r="G63" s="261">
        <f t="shared" si="4"/>
        <v>1559</v>
      </c>
      <c r="H63" s="275">
        <f t="shared" si="5"/>
        <v>1.0262989095574096E-2</v>
      </c>
      <c r="I63" s="261"/>
      <c r="W63" s="93">
        <v>42706</v>
      </c>
      <c r="X63" s="362">
        <v>29.66</v>
      </c>
      <c r="Y63" s="40">
        <v>29.73</v>
      </c>
      <c r="Z63" s="40">
        <v>29.3</v>
      </c>
      <c r="AA63" s="362">
        <v>29.38</v>
      </c>
      <c r="AB63" s="94">
        <v>358400</v>
      </c>
      <c r="AC63" s="242">
        <v>29.38</v>
      </c>
      <c r="AD63" s="2">
        <f t="shared" si="0"/>
        <v>0.42999999999999972</v>
      </c>
      <c r="AE63" s="137">
        <f t="shared" si="1"/>
        <v>-9.7741826761038597E-3</v>
      </c>
    </row>
    <row r="64" spans="1:31" x14ac:dyDescent="0.25">
      <c r="B64" s="265">
        <v>42634</v>
      </c>
      <c r="C64" s="260">
        <v>50</v>
      </c>
      <c r="D64" s="261">
        <v>31.18</v>
      </c>
      <c r="E64" s="261">
        <v>32.049999999999997</v>
      </c>
      <c r="F64" s="261">
        <f t="shared" si="3"/>
        <v>43.499999999999872</v>
      </c>
      <c r="G64" s="261">
        <f t="shared" si="4"/>
        <v>1559</v>
      </c>
      <c r="H64" s="275">
        <f t="shared" si="5"/>
        <v>2.7902501603591964E-2</v>
      </c>
      <c r="I64" s="261"/>
      <c r="W64" s="93">
        <v>42705</v>
      </c>
      <c r="X64" s="362">
        <v>30.02</v>
      </c>
      <c r="Y64" s="40">
        <v>30.17</v>
      </c>
      <c r="Z64" s="40">
        <v>29.4</v>
      </c>
      <c r="AA64" s="362">
        <v>29.67</v>
      </c>
      <c r="AB64" s="94">
        <v>496200</v>
      </c>
      <c r="AC64" s="242">
        <v>29.67</v>
      </c>
      <c r="AD64" s="2">
        <f t="shared" si="0"/>
        <v>0.77000000000000313</v>
      </c>
      <c r="AE64" s="137">
        <f t="shared" si="1"/>
        <v>-1.5593895155938897E-2</v>
      </c>
    </row>
    <row r="65" spans="2:31" x14ac:dyDescent="0.25">
      <c r="B65" s="265">
        <v>42648</v>
      </c>
      <c r="C65" s="260">
        <v>50</v>
      </c>
      <c r="D65" s="261">
        <v>31.18</v>
      </c>
      <c r="E65" s="261">
        <v>31.87</v>
      </c>
      <c r="F65" s="261">
        <f t="shared" si="3"/>
        <v>34.500000000000064</v>
      </c>
      <c r="G65" s="261">
        <f t="shared" si="4"/>
        <v>1559</v>
      </c>
      <c r="H65" s="275">
        <f t="shared" si="5"/>
        <v>2.2129570237331662E-2</v>
      </c>
      <c r="I65" s="261"/>
      <c r="W65" s="93">
        <v>42704</v>
      </c>
      <c r="X65" s="362">
        <v>30.53</v>
      </c>
      <c r="Y65" s="40">
        <v>30.79</v>
      </c>
      <c r="Z65" s="40">
        <v>30.1</v>
      </c>
      <c r="AA65" s="362">
        <v>30.14</v>
      </c>
      <c r="AB65" s="94">
        <v>552900</v>
      </c>
      <c r="AC65" s="242">
        <v>30.14</v>
      </c>
      <c r="AD65" s="2">
        <f t="shared" si="0"/>
        <v>0.68999999999999773</v>
      </c>
      <c r="AE65" s="137">
        <f t="shared" si="1"/>
        <v>-1.1479173499508E-2</v>
      </c>
    </row>
    <row r="66" spans="2:31" x14ac:dyDescent="0.25">
      <c r="B66" s="265">
        <v>42649</v>
      </c>
      <c r="C66" s="260">
        <v>50</v>
      </c>
      <c r="D66" s="261">
        <v>31.18</v>
      </c>
      <c r="E66" s="261">
        <v>31.61</v>
      </c>
      <c r="F66" s="261">
        <f>C66*(E66-D66)</f>
        <v>21.499999999999986</v>
      </c>
      <c r="G66" s="261">
        <f>D66*C66</f>
        <v>1559</v>
      </c>
      <c r="H66" s="275">
        <f>(E66-D66)/D66</f>
        <v>1.379089159717767E-2</v>
      </c>
      <c r="I66" s="261"/>
      <c r="W66" s="93">
        <v>42703</v>
      </c>
      <c r="X66" s="362">
        <v>30.34</v>
      </c>
      <c r="Y66" s="40">
        <v>31.37</v>
      </c>
      <c r="Z66" s="40">
        <v>30.31</v>
      </c>
      <c r="AA66" s="362">
        <v>30.49</v>
      </c>
      <c r="AB66" s="94">
        <v>844600</v>
      </c>
      <c r="AC66" s="242">
        <v>30.49</v>
      </c>
      <c r="AD66" s="2">
        <f t="shared" si="0"/>
        <v>1.0600000000000023</v>
      </c>
      <c r="AE66" s="137">
        <f t="shared" si="1"/>
        <v>2.2468142186451878E-2</v>
      </c>
    </row>
    <row r="67" spans="2:31" x14ac:dyDescent="0.25">
      <c r="B67" s="265">
        <v>42701</v>
      </c>
      <c r="C67" s="260">
        <v>50</v>
      </c>
      <c r="D67" s="261">
        <v>31.18</v>
      </c>
      <c r="E67" s="261">
        <v>29.98</v>
      </c>
      <c r="F67" s="261">
        <f>C67*(E67-D67)</f>
        <v>-59.999999999999964</v>
      </c>
      <c r="G67" s="261">
        <f>D67*C67</f>
        <v>1559</v>
      </c>
      <c r="H67" s="275">
        <f>(E67-D67)/D67</f>
        <v>-3.8486209108402801E-2</v>
      </c>
      <c r="I67" s="261"/>
      <c r="W67" s="93">
        <v>42702</v>
      </c>
      <c r="X67" s="362">
        <v>29.97</v>
      </c>
      <c r="Y67" s="40">
        <v>30.26</v>
      </c>
      <c r="Z67" s="40">
        <v>29.66</v>
      </c>
      <c r="AA67" s="362">
        <v>29.82</v>
      </c>
      <c r="AB67" s="94">
        <v>472600</v>
      </c>
      <c r="AC67" s="242">
        <v>29.82</v>
      </c>
      <c r="AD67" s="2">
        <f t="shared" si="0"/>
        <v>0.60000000000000142</v>
      </c>
      <c r="AE67" s="137" t="e">
        <f t="shared" si="1"/>
        <v>#DIV/0!</v>
      </c>
    </row>
    <row r="68" spans="2:31" x14ac:dyDescent="0.25">
      <c r="B68" s="265">
        <v>42741</v>
      </c>
      <c r="C68" s="260">
        <v>0</v>
      </c>
      <c r="D68" s="261"/>
      <c r="E68" s="261">
        <v>21.97</v>
      </c>
      <c r="F68" s="261"/>
      <c r="G68" s="261"/>
      <c r="H68" s="275"/>
      <c r="I68" s="261"/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:31" x14ac:dyDescent="0.25">
      <c r="B69" s="192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30">
        <f>(E69-D69)/D69</f>
        <v>5.0204918032786844E-2</v>
      </c>
      <c r="I69" s="40"/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  <row r="70" spans="2:31" x14ac:dyDescent="0.25">
      <c r="B70" s="192">
        <v>42804</v>
      </c>
      <c r="C70" s="10">
        <v>0</v>
      </c>
      <c r="D70" s="40"/>
      <c r="E70" s="40">
        <v>30.85</v>
      </c>
      <c r="F70" s="40">
        <v>149.93</v>
      </c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077" priority="31">
      <formula>F29&gt;0</formula>
    </cfRule>
    <cfRule type="expression" dxfId="1076" priority="32">
      <formula>F29&lt;0</formula>
    </cfRule>
  </conditionalFormatting>
  <conditionalFormatting sqref="F29 F31:F35">
    <cfRule type="expression" dxfId="1075" priority="33">
      <formula>F29&gt;0</formula>
    </cfRule>
    <cfRule type="expression" dxfId="1074" priority="34">
      <formula>F29&lt;0</formula>
    </cfRule>
  </conditionalFormatting>
  <conditionalFormatting sqref="H29 H31:H35">
    <cfRule type="expression" dxfId="1073" priority="29">
      <formula>H29&gt;0</formula>
    </cfRule>
    <cfRule type="expression" dxfId="1072" priority="30">
      <formula>H29&lt;0</formula>
    </cfRule>
  </conditionalFormatting>
  <conditionalFormatting sqref="F21:F28">
    <cfRule type="expression" dxfId="1071" priority="27">
      <formula>F21&gt;0</formula>
    </cfRule>
    <cfRule type="expression" dxfId="1070" priority="28">
      <formula>F21&lt;0</formula>
    </cfRule>
  </conditionalFormatting>
  <conditionalFormatting sqref="H21:H28">
    <cfRule type="expression" dxfId="1069" priority="25">
      <formula>H21&gt;0</formula>
    </cfRule>
    <cfRule type="expression" dxfId="1068" priority="26">
      <formula>H21&lt;0</formula>
    </cfRule>
  </conditionalFormatting>
  <conditionalFormatting sqref="Q8">
    <cfRule type="expression" dxfId="1067" priority="21">
      <formula>Q8&gt;0</formula>
    </cfRule>
    <cfRule type="expression" dxfId="1066" priority="22">
      <formula>Q8&lt;0</formula>
    </cfRule>
  </conditionalFormatting>
  <conditionalFormatting sqref="Q7">
    <cfRule type="expression" dxfId="1065" priority="23">
      <formula>Q7&gt;0</formula>
    </cfRule>
    <cfRule type="expression" dxfId="1064" priority="24">
      <formula>Q7&lt;0</formula>
    </cfRule>
  </conditionalFormatting>
  <conditionalFormatting sqref="F30">
    <cfRule type="expression" dxfId="1063" priority="19">
      <formula>F30&gt;0</formula>
    </cfRule>
    <cfRule type="expression" dxfId="1062" priority="20">
      <formula>F30&lt;0</formula>
    </cfRule>
  </conditionalFormatting>
  <conditionalFormatting sqref="H30">
    <cfRule type="expression" dxfId="1061" priority="17">
      <formula>H30&gt;0</formula>
    </cfRule>
    <cfRule type="expression" dxfId="1060" priority="18">
      <formula>H30&lt;0</formula>
    </cfRule>
  </conditionalFormatting>
  <conditionalFormatting sqref="F68 F70:F74">
    <cfRule type="expression" dxfId="1059" priority="13">
      <formula>F68&gt;0</formula>
    </cfRule>
    <cfRule type="expression" dxfId="1058" priority="14">
      <formula>F68&lt;0</formula>
    </cfRule>
  </conditionalFormatting>
  <conditionalFormatting sqref="F68 F70:F74">
    <cfRule type="expression" dxfId="1057" priority="15">
      <formula>F68&gt;0</formula>
    </cfRule>
    <cfRule type="expression" dxfId="1056" priority="16">
      <formula>F68&lt;0</formula>
    </cfRule>
  </conditionalFormatting>
  <conditionalFormatting sqref="H68 H70:H74">
    <cfRule type="expression" dxfId="1055" priority="11">
      <formula>H68&gt;0</formula>
    </cfRule>
    <cfRule type="expression" dxfId="1054" priority="12">
      <formula>H68&lt;0</formula>
    </cfRule>
  </conditionalFormatting>
  <conditionalFormatting sqref="F60:F67">
    <cfRule type="expression" dxfId="1053" priority="9">
      <formula>F60&gt;0</formula>
    </cfRule>
    <cfRule type="expression" dxfId="1052" priority="10">
      <formula>F60&lt;0</formula>
    </cfRule>
  </conditionalFormatting>
  <conditionalFormatting sqref="H60:H67">
    <cfRule type="expression" dxfId="1051" priority="7">
      <formula>H60&gt;0</formula>
    </cfRule>
    <cfRule type="expression" dxfId="1050" priority="8">
      <formula>H60&lt;0</formula>
    </cfRule>
  </conditionalFormatting>
  <conditionalFormatting sqref="F69">
    <cfRule type="expression" dxfId="1049" priority="5">
      <formula>F69&gt;0</formula>
    </cfRule>
    <cfRule type="expression" dxfId="1048" priority="6">
      <formula>F69&lt;0</formula>
    </cfRule>
  </conditionalFormatting>
  <conditionalFormatting sqref="H69">
    <cfRule type="expression" dxfId="1047" priority="3">
      <formula>H69&gt;0</formula>
    </cfRule>
    <cfRule type="expression" dxfId="1046" priority="4">
      <formula>H69&lt;0</formula>
    </cfRule>
  </conditionalFormatting>
  <conditionalFormatting sqref="Q10">
    <cfRule type="expression" dxfId="1045" priority="1">
      <formula>Q10&gt;0</formula>
    </cfRule>
    <cfRule type="expression" dxfId="104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42797</v>
      </c>
      <c r="X2" s="10">
        <v>30.2</v>
      </c>
      <c r="Y2" s="10">
        <v>30.52</v>
      </c>
      <c r="Z2" s="10">
        <v>30.03</v>
      </c>
      <c r="AA2" s="10">
        <v>30.46</v>
      </c>
      <c r="AB2" s="94">
        <v>4421900</v>
      </c>
      <c r="AC2" s="10">
        <v>30.46</v>
      </c>
      <c r="AD2" s="2">
        <f>Y2-Z2</f>
        <v>0.48999999999999844</v>
      </c>
      <c r="AE2" s="137">
        <f>AC2/AC3-1</f>
        <v>8.6092715231789185E-3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30.55</v>
      </c>
      <c r="T3" s="1"/>
      <c r="W3" s="132">
        <v>42796</v>
      </c>
      <c r="X3" s="10">
        <v>30.33</v>
      </c>
      <c r="Y3" s="10">
        <v>30.48</v>
      </c>
      <c r="Z3" s="10">
        <v>30.09</v>
      </c>
      <c r="AA3" s="10">
        <v>30.2</v>
      </c>
      <c r="AB3" s="94">
        <v>6672900</v>
      </c>
      <c r="AC3" s="10">
        <v>30.2</v>
      </c>
      <c r="AD3" s="2">
        <f t="shared" ref="AD3:AD66" si="0">Y3-Z3</f>
        <v>0.39000000000000057</v>
      </c>
      <c r="AE3" s="137">
        <f t="shared" ref="AE3:AE66" si="1">AC3/AC4-1</f>
        <v>-6.9056231502795384E-3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30.55</v>
      </c>
      <c r="R4" s="499">
        <v>-4.8999999999999998E-3</v>
      </c>
      <c r="T4" s="162"/>
      <c r="U4" s="1"/>
      <c r="W4" s="132">
        <v>42795</v>
      </c>
      <c r="X4" s="10">
        <v>30.2</v>
      </c>
      <c r="Y4" s="10">
        <v>30.73</v>
      </c>
      <c r="Z4" s="10">
        <v>30.15</v>
      </c>
      <c r="AA4" s="10">
        <v>30.41</v>
      </c>
      <c r="AB4" s="94">
        <v>8336300</v>
      </c>
      <c r="AC4" s="10">
        <v>30.41</v>
      </c>
      <c r="AD4" s="2">
        <f t="shared" si="0"/>
        <v>0.58000000000000185</v>
      </c>
      <c r="AE4" s="137">
        <f t="shared" si="1"/>
        <v>1.6377005347593565E-2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30.33</v>
      </c>
      <c r="Y5" s="10">
        <v>30.42</v>
      </c>
      <c r="Z5" s="10">
        <v>29.9</v>
      </c>
      <c r="AA5" s="10">
        <v>29.92</v>
      </c>
      <c r="AB5" s="94">
        <v>8499700</v>
      </c>
      <c r="AC5" s="10">
        <v>29.92</v>
      </c>
      <c r="AD5" s="2">
        <f t="shared" si="0"/>
        <v>0.52000000000000313</v>
      </c>
      <c r="AE5" s="137">
        <f t="shared" si="1"/>
        <v>-1.6759776536312776E-2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30.51</v>
      </c>
      <c r="Y6" s="10">
        <v>30.7</v>
      </c>
      <c r="Z6" s="10">
        <v>30.29</v>
      </c>
      <c r="AA6" s="10">
        <v>30.43</v>
      </c>
      <c r="AB6" s="94">
        <v>6475700</v>
      </c>
      <c r="AC6" s="10">
        <v>30.43</v>
      </c>
      <c r="AD6" s="2">
        <f t="shared" si="0"/>
        <v>0.41000000000000014</v>
      </c>
      <c r="AE6" s="137">
        <f t="shared" si="1"/>
        <v>-5.8804312316236285E-3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42790</v>
      </c>
      <c r="X7" s="10">
        <v>30.44</v>
      </c>
      <c r="Y7" s="10">
        <v>30.62</v>
      </c>
      <c r="Z7" s="10">
        <v>30.27</v>
      </c>
      <c r="AA7" s="10">
        <v>30.61</v>
      </c>
      <c r="AB7" s="94">
        <v>4920500</v>
      </c>
      <c r="AC7" s="10">
        <v>30.61</v>
      </c>
      <c r="AD7" s="2">
        <f t="shared" si="0"/>
        <v>0.35000000000000142</v>
      </c>
      <c r="AE7" s="137">
        <f t="shared" si="1"/>
        <v>8.8991430454845588E-3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30.29</v>
      </c>
      <c r="Y8" s="10">
        <v>30.68</v>
      </c>
      <c r="Z8" s="10">
        <v>30.17</v>
      </c>
      <c r="AA8" s="10">
        <v>30.34</v>
      </c>
      <c r="AB8" s="94">
        <v>4363200</v>
      </c>
      <c r="AC8" s="10">
        <v>30.34</v>
      </c>
      <c r="AD8" s="2">
        <f t="shared" si="0"/>
        <v>0.50999999999999801</v>
      </c>
      <c r="AE8" s="137">
        <f t="shared" si="1"/>
        <v>-4.26649163111259E-3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30.39</v>
      </c>
      <c r="Y9" s="10">
        <v>30.6</v>
      </c>
      <c r="Z9" s="10">
        <v>30.39</v>
      </c>
      <c r="AA9" s="10">
        <v>30.47</v>
      </c>
      <c r="AB9" s="94">
        <v>4590400</v>
      </c>
      <c r="AC9" s="10">
        <v>30.47</v>
      </c>
      <c r="AD9" s="2">
        <f t="shared" si="0"/>
        <v>0.21000000000000085</v>
      </c>
      <c r="AE9" s="137">
        <f t="shared" si="1"/>
        <v>-2.6186579378069119E-3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42787</v>
      </c>
      <c r="X10" s="10">
        <v>30.24</v>
      </c>
      <c r="Y10" s="10">
        <v>30.8</v>
      </c>
      <c r="Z10" s="10">
        <v>30.23</v>
      </c>
      <c r="AA10" s="10">
        <v>30.55</v>
      </c>
      <c r="AB10" s="94">
        <v>9224800</v>
      </c>
      <c r="AC10" s="10">
        <v>30.55</v>
      </c>
      <c r="AD10" s="2">
        <f t="shared" si="0"/>
        <v>0.57000000000000028</v>
      </c>
      <c r="AE10" s="137">
        <f t="shared" si="1"/>
        <v>6.5897858319603486E-3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1.1900000000000001E-2</v>
      </c>
      <c r="W11" s="132">
        <v>42783</v>
      </c>
      <c r="X11" s="10">
        <v>30.42</v>
      </c>
      <c r="Y11" s="10">
        <v>30.51</v>
      </c>
      <c r="Z11" s="10">
        <v>30.16</v>
      </c>
      <c r="AA11" s="10">
        <v>30.35</v>
      </c>
      <c r="AB11" s="94">
        <v>4975300</v>
      </c>
      <c r="AC11" s="10">
        <v>30.35</v>
      </c>
      <c r="AD11" s="2">
        <f t="shared" si="0"/>
        <v>0.35000000000000142</v>
      </c>
      <c r="AE11" s="137">
        <f t="shared" si="1"/>
        <v>-5.2441822353326284E-3</v>
      </c>
    </row>
    <row r="12" spans="1:31" x14ac:dyDescent="0.25">
      <c r="H12" s="71"/>
      <c r="W12" s="132">
        <v>42782</v>
      </c>
      <c r="X12" s="10">
        <v>30.58</v>
      </c>
      <c r="Y12" s="10">
        <v>30.75</v>
      </c>
      <c r="Z12" s="10">
        <v>30.41</v>
      </c>
      <c r="AA12" s="10">
        <v>30.51</v>
      </c>
      <c r="AB12" s="94">
        <v>4293600</v>
      </c>
      <c r="AC12" s="10">
        <v>30.51</v>
      </c>
      <c r="AD12" s="2">
        <f t="shared" si="0"/>
        <v>0.33999999999999986</v>
      </c>
      <c r="AE12" s="137">
        <f t="shared" si="1"/>
        <v>-6.1889250814332053E-3</v>
      </c>
    </row>
    <row r="13" spans="1:31" x14ac:dyDescent="0.25">
      <c r="H13" s="71"/>
      <c r="W13" s="132">
        <v>42781</v>
      </c>
      <c r="X13" s="10">
        <v>30.08</v>
      </c>
      <c r="Y13" s="10">
        <v>30.7</v>
      </c>
      <c r="Z13" s="10">
        <v>30.07</v>
      </c>
      <c r="AA13" s="10">
        <v>30.7</v>
      </c>
      <c r="AB13" s="94">
        <v>7573100</v>
      </c>
      <c r="AC13" s="10">
        <v>30.7</v>
      </c>
      <c r="AD13" s="2">
        <f t="shared" si="0"/>
        <v>0.62999999999999901</v>
      </c>
      <c r="AE13" s="137">
        <f t="shared" si="1"/>
        <v>1.3201320132013139E-2</v>
      </c>
    </row>
    <row r="14" spans="1:31" x14ac:dyDescent="0.25">
      <c r="H14" s="71"/>
      <c r="W14" s="132">
        <v>42780</v>
      </c>
      <c r="X14" s="10">
        <v>29.74</v>
      </c>
      <c r="Y14" s="10">
        <v>30.4</v>
      </c>
      <c r="Z14" s="10">
        <v>29.57</v>
      </c>
      <c r="AA14" s="10">
        <v>30.3</v>
      </c>
      <c r="AB14" s="94">
        <v>9243500</v>
      </c>
      <c r="AC14" s="10">
        <v>30.3</v>
      </c>
      <c r="AD14" s="2">
        <f t="shared" si="0"/>
        <v>0.82999999999999829</v>
      </c>
      <c r="AE14" s="137">
        <f t="shared" si="1"/>
        <v>1.9515477792732216E-2</v>
      </c>
    </row>
    <row r="15" spans="1:31" x14ac:dyDescent="0.25">
      <c r="H15" s="71"/>
      <c r="W15" s="132">
        <v>42779</v>
      </c>
      <c r="X15" s="10">
        <v>30.09</v>
      </c>
      <c r="Y15" s="10">
        <v>30.12</v>
      </c>
      <c r="Z15" s="10">
        <v>29.51</v>
      </c>
      <c r="AA15" s="10">
        <v>29.72</v>
      </c>
      <c r="AB15" s="94">
        <v>6970800</v>
      </c>
      <c r="AC15" s="10">
        <v>29.72</v>
      </c>
      <c r="AD15" s="2">
        <f t="shared" si="0"/>
        <v>0.60999999999999943</v>
      </c>
      <c r="AE15" s="137">
        <f t="shared" si="1"/>
        <v>-6.3523905048479268E-3</v>
      </c>
    </row>
    <row r="16" spans="1:31" x14ac:dyDescent="0.25">
      <c r="H16" s="71"/>
      <c r="W16" s="132">
        <v>42776</v>
      </c>
      <c r="X16" s="10">
        <v>30.19</v>
      </c>
      <c r="Y16" s="10">
        <v>30.28</v>
      </c>
      <c r="Z16" s="10">
        <v>29.81</v>
      </c>
      <c r="AA16" s="10">
        <v>29.91</v>
      </c>
      <c r="AB16" s="94">
        <v>8859300</v>
      </c>
      <c r="AC16" s="10">
        <v>29.91</v>
      </c>
      <c r="AD16" s="2">
        <f t="shared" si="0"/>
        <v>0.47000000000000242</v>
      </c>
      <c r="AE16" s="137">
        <f t="shared" si="1"/>
        <v>-6.9721115537848544E-3</v>
      </c>
    </row>
    <row r="17" spans="1:31" x14ac:dyDescent="0.25">
      <c r="W17" s="132">
        <v>42775</v>
      </c>
      <c r="X17" s="10">
        <v>30.35</v>
      </c>
      <c r="Y17" s="10">
        <v>30.51</v>
      </c>
      <c r="Z17" s="10">
        <v>30.09</v>
      </c>
      <c r="AA17" s="10">
        <v>30.12</v>
      </c>
      <c r="AB17" s="94">
        <v>5763900</v>
      </c>
      <c r="AC17" s="10">
        <v>30.12</v>
      </c>
      <c r="AD17" s="2">
        <f t="shared" si="0"/>
        <v>0.42000000000000171</v>
      </c>
      <c r="AE17" s="137">
        <f t="shared" si="1"/>
        <v>-2.9791459781529639E-3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30.47</v>
      </c>
      <c r="Y18" s="10">
        <v>30.57</v>
      </c>
      <c r="Z18" s="10">
        <v>29.96</v>
      </c>
      <c r="AA18" s="10">
        <v>30.21</v>
      </c>
      <c r="AB18" s="94">
        <v>7790700</v>
      </c>
      <c r="AC18" s="10">
        <v>30.21</v>
      </c>
      <c r="AD18" s="2">
        <f t="shared" si="0"/>
        <v>0.60999999999999943</v>
      </c>
      <c r="AE18" s="137">
        <f t="shared" si="1"/>
        <v>-8.8582677165354173E-3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30.85</v>
      </c>
      <c r="Y19" s="10">
        <v>31.46</v>
      </c>
      <c r="Z19" s="10">
        <v>30.14</v>
      </c>
      <c r="AA19" s="10">
        <v>30.48</v>
      </c>
      <c r="AB19" s="94">
        <v>15176600</v>
      </c>
      <c r="AC19" s="10">
        <v>30.48</v>
      </c>
      <c r="AD19" s="2">
        <f t="shared" si="0"/>
        <v>1.3200000000000003</v>
      </c>
      <c r="AE19" s="137">
        <f t="shared" si="1"/>
        <v>-1.8673535093367666E-2</v>
      </c>
    </row>
    <row r="20" spans="1:31" x14ac:dyDescent="0.25">
      <c r="W20" s="132">
        <v>42772</v>
      </c>
      <c r="X20" s="10">
        <v>31.19</v>
      </c>
      <c r="Y20" s="10">
        <v>31.5</v>
      </c>
      <c r="Z20" s="10">
        <v>30.96</v>
      </c>
      <c r="AA20" s="10">
        <v>31.06</v>
      </c>
      <c r="AB20" s="94">
        <v>13574000</v>
      </c>
      <c r="AC20" s="10">
        <v>31.06</v>
      </c>
      <c r="AD20" s="2">
        <f t="shared" si="0"/>
        <v>0.53999999999999915</v>
      </c>
      <c r="AE20" s="137">
        <f t="shared" si="1"/>
        <v>-1.0828025477707004E-2</v>
      </c>
    </row>
    <row r="21" spans="1:31" x14ac:dyDescent="0.25">
      <c r="W21" s="132">
        <v>42769</v>
      </c>
      <c r="X21" s="10">
        <v>31.46</v>
      </c>
      <c r="Y21" s="10">
        <v>31.62</v>
      </c>
      <c r="Z21" s="10">
        <v>31.16</v>
      </c>
      <c r="AA21" s="10">
        <v>31.4</v>
      </c>
      <c r="AB21" s="94">
        <v>7488000</v>
      </c>
      <c r="AC21" s="10">
        <v>31.4</v>
      </c>
      <c r="AD21" s="2">
        <f t="shared" si="0"/>
        <v>0.46000000000000085</v>
      </c>
      <c r="AE21" s="137">
        <f t="shared" si="1"/>
        <v>-1.9071837253655799E-3</v>
      </c>
    </row>
    <row r="22" spans="1:31" x14ac:dyDescent="0.25">
      <c r="W22" s="132">
        <v>42768</v>
      </c>
      <c r="X22" s="10">
        <v>31.53</v>
      </c>
      <c r="Y22" s="10">
        <v>31.59</v>
      </c>
      <c r="Z22" s="10">
        <v>31.29</v>
      </c>
      <c r="AA22" s="10">
        <v>31.46</v>
      </c>
      <c r="AB22" s="94">
        <v>4701000</v>
      </c>
      <c r="AC22" s="10">
        <v>31.46</v>
      </c>
      <c r="AD22" s="2">
        <f t="shared" si="0"/>
        <v>0.30000000000000071</v>
      </c>
      <c r="AE22" s="137">
        <f t="shared" si="1"/>
        <v>-5.0600885515496019E-3</v>
      </c>
    </row>
    <row r="23" spans="1:31" x14ac:dyDescent="0.25">
      <c r="W23" s="132">
        <v>42767</v>
      </c>
      <c r="X23" s="10">
        <v>31.32</v>
      </c>
      <c r="Y23" s="10">
        <v>31.75</v>
      </c>
      <c r="Z23" s="10">
        <v>31.32</v>
      </c>
      <c r="AA23" s="10">
        <v>31.62</v>
      </c>
      <c r="AB23" s="94">
        <v>7399600</v>
      </c>
      <c r="AC23" s="10">
        <v>31.62</v>
      </c>
      <c r="AD23" s="2">
        <f t="shared" si="0"/>
        <v>0.42999999999999972</v>
      </c>
      <c r="AE23" s="137">
        <f t="shared" si="1"/>
        <v>7.6481835564055078E-3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31.2</v>
      </c>
      <c r="Y24" s="10">
        <v>31.44</v>
      </c>
      <c r="Z24" s="10">
        <v>31.05</v>
      </c>
      <c r="AA24" s="10">
        <v>31.38</v>
      </c>
      <c r="AB24" s="94">
        <v>5161700</v>
      </c>
      <c r="AC24" s="10">
        <v>31.38</v>
      </c>
      <c r="AD24" s="2">
        <f t="shared" si="0"/>
        <v>0.39000000000000057</v>
      </c>
      <c r="AE24" s="137">
        <f t="shared" si="1"/>
        <v>3.1877590054185667E-4</v>
      </c>
    </row>
    <row r="25" spans="1:31" x14ac:dyDescent="0.25">
      <c r="B25" s="192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30">
        <f t="shared" ref="H25:H31" si="4">(E25-D25)/D25</f>
        <v>5.7660626029654265E-3</v>
      </c>
      <c r="I25" s="40"/>
      <c r="W25" s="132">
        <v>42765</v>
      </c>
      <c r="X25" s="10">
        <v>31.28</v>
      </c>
      <c r="Y25" s="10">
        <v>31.4</v>
      </c>
      <c r="Z25" s="10">
        <v>31</v>
      </c>
      <c r="AA25" s="10">
        <v>31.37</v>
      </c>
      <c r="AB25" s="94">
        <v>4269900</v>
      </c>
      <c r="AC25" s="10">
        <v>31.37</v>
      </c>
      <c r="AD25" s="2">
        <f t="shared" si="0"/>
        <v>0.39999999999999858</v>
      </c>
      <c r="AE25" s="137">
        <f t="shared" si="1"/>
        <v>2.5567273889421926E-3</v>
      </c>
    </row>
    <row r="26" spans="1:31" x14ac:dyDescent="0.25">
      <c r="B26" s="192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30">
        <f t="shared" si="4"/>
        <v>4.1186161449752005E-3</v>
      </c>
      <c r="I26" s="40"/>
      <c r="W26" s="132">
        <v>42762</v>
      </c>
      <c r="X26" s="10">
        <v>31.14</v>
      </c>
      <c r="Y26" s="10">
        <v>31.52</v>
      </c>
      <c r="Z26" s="10">
        <v>30.88</v>
      </c>
      <c r="AA26" s="10">
        <v>31.29</v>
      </c>
      <c r="AB26" s="94">
        <v>8259000</v>
      </c>
      <c r="AC26" s="10">
        <v>31.29</v>
      </c>
      <c r="AD26" s="2">
        <f t="shared" si="0"/>
        <v>0.64000000000000057</v>
      </c>
      <c r="AE26" s="137">
        <f t="shared" si="1"/>
        <v>9.3548387096773489E-3</v>
      </c>
    </row>
    <row r="27" spans="1:31" x14ac:dyDescent="0.25">
      <c r="B27" s="192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30">
        <f t="shared" si="4"/>
        <v>1.9357495881383809E-2</v>
      </c>
      <c r="I27" s="40"/>
      <c r="W27" s="132">
        <v>42761</v>
      </c>
      <c r="X27" s="10">
        <v>30.43</v>
      </c>
      <c r="Y27" s="10">
        <v>31.61</v>
      </c>
      <c r="Z27" s="10">
        <v>30.31</v>
      </c>
      <c r="AA27" s="10">
        <v>31</v>
      </c>
      <c r="AB27" s="94">
        <v>12695500</v>
      </c>
      <c r="AC27" s="10">
        <v>31</v>
      </c>
      <c r="AD27" s="2">
        <f t="shared" si="0"/>
        <v>1.3000000000000007</v>
      </c>
      <c r="AE27" s="137">
        <f t="shared" si="1"/>
        <v>2.3102310231023049E-2</v>
      </c>
    </row>
    <row r="28" spans="1:31" x14ac:dyDescent="0.25">
      <c r="B28" s="192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30">
        <f t="shared" si="4"/>
        <v>-2.9242174629324581E-2</v>
      </c>
      <c r="I28" s="40"/>
      <c r="W28" s="132">
        <v>42760</v>
      </c>
      <c r="X28" s="10">
        <v>30.37</v>
      </c>
      <c r="Y28" s="10">
        <v>30.44</v>
      </c>
      <c r="Z28" s="10">
        <v>30.17</v>
      </c>
      <c r="AA28" s="10">
        <v>30.3</v>
      </c>
      <c r="AB28" s="94">
        <v>5237500</v>
      </c>
      <c r="AC28" s="10">
        <v>30.3</v>
      </c>
      <c r="AD28" s="2">
        <f t="shared" si="0"/>
        <v>0.26999999999999957</v>
      </c>
      <c r="AE28" s="137">
        <f t="shared" si="1"/>
        <v>6.6050198150602313E-4</v>
      </c>
    </row>
    <row r="29" spans="1:31" x14ac:dyDescent="0.25">
      <c r="B29" s="192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30">
        <f t="shared" si="4"/>
        <v>8.2372322899504011E-4</v>
      </c>
      <c r="I29" s="40"/>
      <c r="W29" s="132">
        <v>42759</v>
      </c>
      <c r="X29" s="10">
        <v>30.11</v>
      </c>
      <c r="Y29" s="10">
        <v>30.3</v>
      </c>
      <c r="Z29" s="10">
        <v>29.89</v>
      </c>
      <c r="AA29" s="10">
        <v>30.28</v>
      </c>
      <c r="AB29" s="94">
        <v>4743000</v>
      </c>
      <c r="AC29" s="10">
        <v>30.28</v>
      </c>
      <c r="AD29" s="2">
        <f t="shared" si="0"/>
        <v>0.41000000000000014</v>
      </c>
      <c r="AE29" s="137">
        <f t="shared" si="1"/>
        <v>9.3333333333334156E-3</v>
      </c>
    </row>
    <row r="30" spans="1:31" x14ac:dyDescent="0.25">
      <c r="B30" s="192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30">
        <f t="shared" si="4"/>
        <v>-3.2948929159803066E-3</v>
      </c>
      <c r="I30" s="40"/>
      <c r="W30" s="132">
        <v>42758</v>
      </c>
      <c r="X30" s="10">
        <v>30.06</v>
      </c>
      <c r="Y30" s="10">
        <v>30.17</v>
      </c>
      <c r="Z30" s="10">
        <v>29.82</v>
      </c>
      <c r="AA30" s="10">
        <v>30</v>
      </c>
      <c r="AB30" s="94">
        <v>5222500</v>
      </c>
      <c r="AC30" s="10">
        <v>30</v>
      </c>
      <c r="AD30" s="2">
        <f t="shared" si="0"/>
        <v>0.35000000000000142</v>
      </c>
      <c r="AE30" s="137">
        <f t="shared" si="1"/>
        <v>-1.6638935108153063E-3</v>
      </c>
    </row>
    <row r="31" spans="1:31" x14ac:dyDescent="0.25">
      <c r="B31" s="192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30">
        <f t="shared" si="4"/>
        <v>1.8533772652388768E-2</v>
      </c>
      <c r="I31" s="40"/>
      <c r="W31" s="132">
        <v>42755</v>
      </c>
      <c r="X31" s="10">
        <v>29.88</v>
      </c>
      <c r="Y31" s="10">
        <v>30.13</v>
      </c>
      <c r="Z31" s="10">
        <v>29.84</v>
      </c>
      <c r="AA31" s="10">
        <v>30.05</v>
      </c>
      <c r="AB31" s="94">
        <v>6619800</v>
      </c>
      <c r="AC31" s="10">
        <v>30.05</v>
      </c>
      <c r="AD31" s="2">
        <f t="shared" si="0"/>
        <v>0.28999999999999915</v>
      </c>
      <c r="AE31" s="137">
        <f t="shared" si="1"/>
        <v>8.3892617449663476E-3</v>
      </c>
    </row>
    <row r="32" spans="1:31" x14ac:dyDescent="0.25">
      <c r="B32" s="192">
        <v>42663</v>
      </c>
      <c r="C32" s="10">
        <v>0</v>
      </c>
      <c r="D32" s="40"/>
      <c r="E32" s="40"/>
      <c r="F32" s="40">
        <v>98.45</v>
      </c>
      <c r="G32" s="40"/>
      <c r="H32" s="230"/>
      <c r="I32" s="40"/>
      <c r="W32" s="132">
        <v>42754</v>
      </c>
      <c r="X32" s="10">
        <v>30.16</v>
      </c>
      <c r="Y32" s="10">
        <v>30.37</v>
      </c>
      <c r="Z32" s="10">
        <v>29.71</v>
      </c>
      <c r="AA32" s="10">
        <v>29.8</v>
      </c>
      <c r="AB32" s="94">
        <v>9174400</v>
      </c>
      <c r="AC32" s="10">
        <v>29.8</v>
      </c>
      <c r="AD32" s="2">
        <f t="shared" si="0"/>
        <v>0.66000000000000014</v>
      </c>
      <c r="AE32" s="137">
        <f t="shared" si="1"/>
        <v>-1.5526924347538773E-2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235"/>
      <c r="W33" s="132">
        <v>42753</v>
      </c>
      <c r="X33" s="10">
        <v>30.01</v>
      </c>
      <c r="Y33" s="10">
        <v>30.33</v>
      </c>
      <c r="Z33" s="10">
        <v>29.92</v>
      </c>
      <c r="AA33" s="10">
        <v>30.27</v>
      </c>
      <c r="AB33" s="94">
        <v>7185800</v>
      </c>
      <c r="AC33" s="10">
        <v>30.27</v>
      </c>
      <c r="AD33" s="2">
        <f t="shared" si="0"/>
        <v>0.40999999999999659</v>
      </c>
      <c r="AE33" s="137">
        <f t="shared" si="1"/>
        <v>1.1359839625793455E-2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42752</v>
      </c>
      <c r="X34" s="10">
        <v>29.89</v>
      </c>
      <c r="Y34" s="10">
        <v>30.11</v>
      </c>
      <c r="Z34" s="10">
        <v>29.86</v>
      </c>
      <c r="AA34" s="10">
        <v>29.93</v>
      </c>
      <c r="AB34" s="94">
        <v>4848100</v>
      </c>
      <c r="AC34" s="10">
        <v>29.93</v>
      </c>
      <c r="AD34" s="2">
        <f t="shared" si="0"/>
        <v>0.25</v>
      </c>
      <c r="AE34" s="137">
        <f t="shared" si="1"/>
        <v>-3.3300033300033283E-3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42748</v>
      </c>
      <c r="X35" s="10">
        <v>29.77</v>
      </c>
      <c r="Y35" s="10">
        <v>30.09</v>
      </c>
      <c r="Z35" s="10">
        <v>29.62</v>
      </c>
      <c r="AA35" s="10">
        <v>30.03</v>
      </c>
      <c r="AB35" s="94">
        <v>5403900</v>
      </c>
      <c r="AC35" s="10">
        <v>30.03</v>
      </c>
      <c r="AD35" s="2">
        <f t="shared" si="0"/>
        <v>0.46999999999999886</v>
      </c>
      <c r="AE35" s="137">
        <f t="shared" si="1"/>
        <v>7.3800738007381295E-3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42747</v>
      </c>
      <c r="X36" s="10">
        <v>30.05</v>
      </c>
      <c r="Y36" s="10">
        <v>30.07</v>
      </c>
      <c r="Z36" s="10">
        <v>29.67</v>
      </c>
      <c r="AA36" s="10">
        <v>29.81</v>
      </c>
      <c r="AB36" s="94">
        <v>5935800</v>
      </c>
      <c r="AC36" s="10">
        <v>29.81</v>
      </c>
      <c r="AD36" s="2">
        <f t="shared" si="0"/>
        <v>0.39999999999999858</v>
      </c>
      <c r="AE36" s="137">
        <f t="shared" si="1"/>
        <v>-8.9760638297872175E-3</v>
      </c>
    </row>
    <row r="37" spans="1:31" x14ac:dyDescent="0.25">
      <c r="B37" s="73"/>
      <c r="C37" s="4"/>
      <c r="D37" s="3"/>
      <c r="E37" s="3"/>
      <c r="F37" s="3"/>
      <c r="G37" s="3"/>
      <c r="H37" s="279"/>
      <c r="I37" s="3"/>
      <c r="W37" s="132">
        <v>42746</v>
      </c>
      <c r="X37" s="10">
        <v>29.72</v>
      </c>
      <c r="Y37" s="10">
        <v>30.1</v>
      </c>
      <c r="Z37" s="10">
        <v>29.59</v>
      </c>
      <c r="AA37" s="10">
        <v>30.08</v>
      </c>
      <c r="AB37" s="94">
        <v>8088000</v>
      </c>
      <c r="AC37" s="10">
        <v>30.08</v>
      </c>
      <c r="AD37" s="2">
        <f t="shared" si="0"/>
        <v>0.51000000000000156</v>
      </c>
      <c r="AE37" s="137">
        <f t="shared" si="1"/>
        <v>1.381867205931897E-2</v>
      </c>
    </row>
    <row r="38" spans="1:31" x14ac:dyDescent="0.25">
      <c r="B38" s="73"/>
      <c r="C38" s="4"/>
      <c r="D38" s="3"/>
      <c r="E38" s="3"/>
      <c r="F38" s="3"/>
      <c r="G38" s="3"/>
      <c r="H38" s="279"/>
      <c r="I38" s="3"/>
      <c r="W38" s="132">
        <v>42745</v>
      </c>
      <c r="X38" s="10">
        <v>29.58</v>
      </c>
      <c r="Y38" s="10">
        <v>30.08</v>
      </c>
      <c r="Z38" s="10">
        <v>29.25</v>
      </c>
      <c r="AA38" s="10">
        <v>29.67</v>
      </c>
      <c r="AB38" s="94">
        <v>8403200</v>
      </c>
      <c r="AC38" s="10">
        <v>29.67</v>
      </c>
      <c r="AD38" s="2">
        <f t="shared" si="0"/>
        <v>0.82999999999999829</v>
      </c>
      <c r="AE38" s="137">
        <f t="shared" si="1"/>
        <v>6.7865626060401585E-3</v>
      </c>
    </row>
    <row r="39" spans="1:31" x14ac:dyDescent="0.25">
      <c r="A39" s="23" t="s">
        <v>298</v>
      </c>
      <c r="B39" s="73"/>
      <c r="C39" s="4"/>
      <c r="D39" s="3"/>
      <c r="E39" s="3"/>
      <c r="F39" s="3"/>
      <c r="G39" s="3"/>
      <c r="H39" s="279"/>
      <c r="I39" s="3"/>
      <c r="W39" s="132">
        <v>42744</v>
      </c>
      <c r="X39" s="10">
        <v>29.58</v>
      </c>
      <c r="Y39" s="10">
        <v>29.66</v>
      </c>
      <c r="Z39" s="10">
        <v>29.25</v>
      </c>
      <c r="AA39" s="10">
        <v>29.47</v>
      </c>
      <c r="AB39" s="94">
        <v>6543300</v>
      </c>
      <c r="AC39" s="10">
        <v>29.47</v>
      </c>
      <c r="AD39" s="2">
        <f t="shared" si="0"/>
        <v>0.41000000000000014</v>
      </c>
      <c r="AE39" s="137">
        <f t="shared" si="1"/>
        <v>-1.6937669376694275E-3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9"/>
      <c r="I40" s="3"/>
      <c r="O40" s="703" t="s">
        <v>78</v>
      </c>
      <c r="P40" s="703"/>
      <c r="W40" s="132">
        <v>42741</v>
      </c>
      <c r="X40" s="10">
        <v>29.03</v>
      </c>
      <c r="Y40" s="10">
        <v>29.6</v>
      </c>
      <c r="Z40" s="10">
        <v>28.85</v>
      </c>
      <c r="AA40" s="10">
        <v>29.52</v>
      </c>
      <c r="AB40" s="94">
        <v>8221800</v>
      </c>
      <c r="AC40" s="10">
        <v>29.52</v>
      </c>
      <c r="AD40" s="2">
        <f t="shared" si="0"/>
        <v>0.75</v>
      </c>
      <c r="AE40" s="137">
        <f t="shared" si="1"/>
        <v>1.7931034482758568E-2</v>
      </c>
    </row>
    <row r="41" spans="1:31" ht="15.75" thickTop="1" x14ac:dyDescent="0.25">
      <c r="B41" s="73"/>
      <c r="C41" s="4"/>
      <c r="D41" s="3"/>
      <c r="E41" s="3"/>
      <c r="F41" s="3"/>
      <c r="G41" s="3"/>
      <c r="H41" s="279"/>
      <c r="I41" s="3"/>
      <c r="O41" s="82">
        <v>1.1000000000000001</v>
      </c>
      <c r="P41" s="82">
        <f>O41*$Q$4</f>
        <v>33.605000000000004</v>
      </c>
      <c r="Q41" s="2"/>
      <c r="W41" s="132">
        <v>42740</v>
      </c>
      <c r="X41" s="10">
        <v>28.83</v>
      </c>
      <c r="Y41" s="10">
        <v>29.17</v>
      </c>
      <c r="Z41" s="10">
        <v>28.65</v>
      </c>
      <c r="AA41" s="10">
        <v>29</v>
      </c>
      <c r="AB41" s="94">
        <v>6325400</v>
      </c>
      <c r="AC41" s="10">
        <v>29</v>
      </c>
      <c r="AD41" s="2">
        <f t="shared" si="0"/>
        <v>0.52000000000000313</v>
      </c>
      <c r="AE41" s="137">
        <f t="shared" si="1"/>
        <v>-6.8917987594763197E-4</v>
      </c>
    </row>
    <row r="42" spans="1:31" ht="20.25" thickBot="1" x14ac:dyDescent="0.35">
      <c r="B42" s="73"/>
      <c r="C42" s="4"/>
      <c r="D42" s="3"/>
      <c r="E42" s="3"/>
      <c r="F42" s="3"/>
      <c r="G42" s="3"/>
      <c r="H42" s="279"/>
      <c r="I42" s="3"/>
      <c r="O42" s="82">
        <v>1.0900000000000001</v>
      </c>
      <c r="P42" s="82">
        <f t="shared" ref="P42:P61" si="5">O42*$Q$4</f>
        <v>33.299500000000002</v>
      </c>
      <c r="Q42" s="2"/>
      <c r="T42" s="90" t="s">
        <v>113</v>
      </c>
      <c r="W42" s="132">
        <v>42739</v>
      </c>
      <c r="X42" s="10">
        <v>28.88</v>
      </c>
      <c r="Y42" s="10">
        <v>29.19</v>
      </c>
      <c r="Z42" s="10">
        <v>28.76</v>
      </c>
      <c r="AA42" s="10">
        <v>29.02</v>
      </c>
      <c r="AB42" s="94">
        <v>8398700</v>
      </c>
      <c r="AC42" s="10">
        <v>29.02</v>
      </c>
      <c r="AD42" s="2">
        <f t="shared" si="0"/>
        <v>0.42999999999999972</v>
      </c>
      <c r="AE42" s="137">
        <f t="shared" si="1"/>
        <v>1.0445682451253546E-2</v>
      </c>
    </row>
    <row r="43" spans="1:31" ht="15.75" thickTop="1" x14ac:dyDescent="0.25">
      <c r="B43" s="73"/>
      <c r="C43" s="4"/>
      <c r="D43" s="3"/>
      <c r="E43" s="3"/>
      <c r="F43" s="3"/>
      <c r="G43" s="3"/>
      <c r="H43" s="279"/>
      <c r="I43" s="3"/>
      <c r="O43" s="82">
        <v>1.08</v>
      </c>
      <c r="P43" s="82">
        <f t="shared" si="5"/>
        <v>32.994</v>
      </c>
      <c r="Q43" s="2"/>
      <c r="T43" s="127" t="s">
        <v>98</v>
      </c>
      <c r="U43" s="128">
        <v>30.2</v>
      </c>
      <c r="W43" s="132">
        <v>42738</v>
      </c>
      <c r="X43" s="10">
        <v>28.42</v>
      </c>
      <c r="Y43" s="10">
        <v>29.04</v>
      </c>
      <c r="Z43" s="10">
        <v>28.27</v>
      </c>
      <c r="AA43" s="10">
        <v>28.72</v>
      </c>
      <c r="AB43" s="94">
        <v>10597900</v>
      </c>
      <c r="AC43" s="10">
        <v>28.72</v>
      </c>
      <c r="AD43" s="2">
        <f t="shared" si="0"/>
        <v>0.76999999999999957</v>
      </c>
      <c r="AE43" s="137">
        <f t="shared" si="1"/>
        <v>2.4251069900142586E-2</v>
      </c>
    </row>
    <row r="44" spans="1:31" x14ac:dyDescent="0.25">
      <c r="B44" s="73"/>
      <c r="C44" s="4"/>
      <c r="D44" s="3"/>
      <c r="E44" s="3"/>
      <c r="F44" s="3"/>
      <c r="G44" s="3"/>
      <c r="H44" s="279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32.688500000000005</v>
      </c>
      <c r="Q44" s="2"/>
      <c r="T44" s="92" t="s">
        <v>99</v>
      </c>
      <c r="U44" s="129">
        <v>30.2</v>
      </c>
      <c r="W44" s="132">
        <v>42734</v>
      </c>
      <c r="X44" s="10">
        <v>28.29</v>
      </c>
      <c r="Y44" s="10">
        <v>28.37</v>
      </c>
      <c r="Z44" s="10">
        <v>27.92</v>
      </c>
      <c r="AA44" s="10">
        <v>28.04</v>
      </c>
      <c r="AB44" s="94">
        <v>6161200</v>
      </c>
      <c r="AC44" s="10">
        <v>28.04</v>
      </c>
      <c r="AD44" s="2">
        <f t="shared" si="0"/>
        <v>0.44999999999999929</v>
      </c>
      <c r="AE44" s="137">
        <f t="shared" si="1"/>
        <v>-8.4865629420085575E-3</v>
      </c>
    </row>
    <row r="45" spans="1:31" x14ac:dyDescent="0.25">
      <c r="A45" s="262" t="s">
        <v>1</v>
      </c>
      <c r="B45" s="262" t="s">
        <v>2</v>
      </c>
      <c r="C45" s="262" t="s">
        <v>4</v>
      </c>
      <c r="D45" s="263" t="s">
        <v>5</v>
      </c>
      <c r="E45" s="263" t="s">
        <v>94</v>
      </c>
      <c r="F45" s="263" t="s">
        <v>60</v>
      </c>
      <c r="G45" s="262" t="s">
        <v>3</v>
      </c>
      <c r="H45" s="262" t="s">
        <v>6</v>
      </c>
      <c r="I45" s="263" t="s">
        <v>7</v>
      </c>
      <c r="J45" s="263" t="s">
        <v>95</v>
      </c>
      <c r="K45" s="263" t="s">
        <v>61</v>
      </c>
      <c r="L45" s="262" t="s">
        <v>37</v>
      </c>
      <c r="M45" s="262" t="s">
        <v>38</v>
      </c>
      <c r="O45" s="82">
        <v>1.06</v>
      </c>
      <c r="P45" s="82">
        <f t="shared" si="5"/>
        <v>32.383000000000003</v>
      </c>
      <c r="Q45" s="2"/>
      <c r="T45" s="92" t="s">
        <v>100</v>
      </c>
      <c r="U45" s="129" t="s">
        <v>607</v>
      </c>
      <c r="W45" s="132">
        <v>42733</v>
      </c>
      <c r="X45" s="10">
        <v>28.6</v>
      </c>
      <c r="Y45" s="10">
        <v>28.61</v>
      </c>
      <c r="Z45" s="10">
        <v>28.21</v>
      </c>
      <c r="AA45" s="10">
        <v>28.28</v>
      </c>
      <c r="AB45" s="94">
        <v>5199900</v>
      </c>
      <c r="AC45" s="10">
        <v>28.28</v>
      </c>
      <c r="AD45" s="2">
        <f t="shared" si="0"/>
        <v>0.39999999999999858</v>
      </c>
      <c r="AE45" s="137">
        <f t="shared" si="1"/>
        <v>-5.9753954305798995E-3</v>
      </c>
    </row>
    <row r="46" spans="1:31" x14ac:dyDescent="0.25">
      <c r="A46" s="264" t="s">
        <v>278</v>
      </c>
      <c r="B46" s="265">
        <v>42619</v>
      </c>
      <c r="C46" s="260">
        <v>100</v>
      </c>
      <c r="D46" s="261">
        <v>24.28</v>
      </c>
      <c r="E46" s="261">
        <v>0</v>
      </c>
      <c r="F46" s="261">
        <f>D46*C46+E46</f>
        <v>2428</v>
      </c>
      <c r="G46" s="265">
        <v>42663</v>
      </c>
      <c r="H46" s="266">
        <v>100</v>
      </c>
      <c r="I46" s="261">
        <v>25.09</v>
      </c>
      <c r="J46" s="261">
        <v>0.55000000000000004</v>
      </c>
      <c r="K46" s="261">
        <f>H46*I46-J46</f>
        <v>2508.4499999999998</v>
      </c>
      <c r="L46" s="265">
        <v>42662</v>
      </c>
      <c r="M46" s="261">
        <v>18</v>
      </c>
      <c r="O46" s="82">
        <v>1.05</v>
      </c>
      <c r="P46" s="82">
        <f t="shared" si="5"/>
        <v>32.077500000000001</v>
      </c>
      <c r="Q46" s="2"/>
      <c r="T46" s="92" t="s">
        <v>101</v>
      </c>
      <c r="U46" s="129" t="s">
        <v>608</v>
      </c>
      <c r="W46" s="132">
        <v>42732</v>
      </c>
      <c r="X46" s="10">
        <v>28.52</v>
      </c>
      <c r="Y46" s="10">
        <v>28.62</v>
      </c>
      <c r="Z46" s="10">
        <v>28.33</v>
      </c>
      <c r="AA46" s="10">
        <v>28.45</v>
      </c>
      <c r="AB46" s="94">
        <v>6137900</v>
      </c>
      <c r="AC46" s="10">
        <v>28.45</v>
      </c>
      <c r="AD46" s="2">
        <f t="shared" si="0"/>
        <v>0.2900000000000027</v>
      </c>
      <c r="AE46" s="137">
        <f t="shared" si="1"/>
        <v>-3.1534688156972246E-3</v>
      </c>
    </row>
    <row r="47" spans="1:31" x14ac:dyDescent="0.25">
      <c r="A47" s="267" t="s">
        <v>71</v>
      </c>
      <c r="B47" s="265"/>
      <c r="C47" s="260"/>
      <c r="D47" s="261"/>
      <c r="E47" s="261"/>
      <c r="F47" s="261"/>
      <c r="G47" s="265"/>
      <c r="H47" s="266"/>
      <c r="I47" s="261"/>
      <c r="J47" s="261"/>
      <c r="K47" s="261"/>
      <c r="L47" s="260"/>
      <c r="M47" s="260"/>
      <c r="O47" s="82">
        <v>1.04</v>
      </c>
      <c r="P47" s="82">
        <f t="shared" si="5"/>
        <v>31.772000000000002</v>
      </c>
      <c r="Q47" s="2"/>
      <c r="T47" s="92" t="s">
        <v>102</v>
      </c>
      <c r="U47" s="129">
        <v>34.049999999999997</v>
      </c>
      <c r="W47" s="132">
        <v>42731</v>
      </c>
      <c r="X47" s="10">
        <v>28.45</v>
      </c>
      <c r="Y47" s="10">
        <v>28.65</v>
      </c>
      <c r="Z47" s="10">
        <v>28.32</v>
      </c>
      <c r="AA47" s="10">
        <v>28.54</v>
      </c>
      <c r="AB47" s="94">
        <v>4924000</v>
      </c>
      <c r="AC47" s="10">
        <v>28.54</v>
      </c>
      <c r="AD47" s="2">
        <f t="shared" si="0"/>
        <v>0.32999999999999829</v>
      </c>
      <c r="AE47" s="137">
        <f t="shared" si="1"/>
        <v>5.6377730796335346E-3</v>
      </c>
    </row>
    <row r="48" spans="1:31" x14ac:dyDescent="0.25">
      <c r="A48" s="260"/>
      <c r="B48" s="265"/>
      <c r="C48" s="260"/>
      <c r="D48" s="261"/>
      <c r="E48" s="261"/>
      <c r="F48" s="261"/>
      <c r="G48" s="265"/>
      <c r="H48" s="266"/>
      <c r="I48" s="261"/>
      <c r="J48" s="261"/>
      <c r="K48" s="261"/>
      <c r="L48" s="260"/>
      <c r="M48" s="260"/>
      <c r="O48" s="82">
        <v>1.03</v>
      </c>
      <c r="P48" s="82">
        <f t="shared" si="5"/>
        <v>31.4665</v>
      </c>
      <c r="Q48" s="2"/>
      <c r="T48" s="92" t="s">
        <v>103</v>
      </c>
      <c r="U48" s="129">
        <v>1.53874</v>
      </c>
      <c r="W48" s="132">
        <v>42727</v>
      </c>
      <c r="X48" s="10">
        <v>28.35</v>
      </c>
      <c r="Y48" s="10">
        <v>28.48</v>
      </c>
      <c r="Z48" s="10">
        <v>28.24</v>
      </c>
      <c r="AA48" s="10">
        <v>28.38</v>
      </c>
      <c r="AB48" s="94">
        <v>4032000</v>
      </c>
      <c r="AC48" s="10">
        <v>28.38</v>
      </c>
      <c r="AD48" s="2">
        <f t="shared" si="0"/>
        <v>0.24000000000000199</v>
      </c>
      <c r="AE48" s="137">
        <f t="shared" si="1"/>
        <v>-1.7587055926837625E-3</v>
      </c>
    </row>
    <row r="49" spans="1:31" x14ac:dyDescent="0.25">
      <c r="A49" s="260"/>
      <c r="B49" s="265"/>
      <c r="C49" s="260"/>
      <c r="D49" s="261"/>
      <c r="E49" s="261"/>
      <c r="F49" s="261"/>
      <c r="G49" s="260"/>
      <c r="H49" s="266"/>
      <c r="I49" s="261"/>
      <c r="J49" s="261"/>
      <c r="K49" s="261"/>
      <c r="L49" s="260"/>
      <c r="M49" s="260"/>
      <c r="O49" s="82">
        <v>1.02</v>
      </c>
      <c r="P49" s="82">
        <f t="shared" si="5"/>
        <v>31.161000000000001</v>
      </c>
      <c r="Q49" s="2"/>
      <c r="T49" s="92" t="s">
        <v>122</v>
      </c>
      <c r="U49" s="129" t="s">
        <v>479</v>
      </c>
      <c r="W49" s="132">
        <v>42726</v>
      </c>
      <c r="X49" s="10">
        <v>26.53</v>
      </c>
      <c r="Y49" s="10">
        <v>28.47</v>
      </c>
      <c r="Z49" s="10">
        <v>26.53</v>
      </c>
      <c r="AA49" s="10">
        <v>28.43</v>
      </c>
      <c r="AB49" s="94">
        <v>7453800</v>
      </c>
      <c r="AC49" s="10">
        <v>28.43</v>
      </c>
      <c r="AD49" s="2">
        <f t="shared" si="0"/>
        <v>1.9399999999999977</v>
      </c>
      <c r="AE49" s="137">
        <f t="shared" si="1"/>
        <v>-7.029876977152627E-4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30.855499999999999</v>
      </c>
      <c r="Q50" s="2"/>
      <c r="T50" s="92"/>
      <c r="U50" s="129"/>
      <c r="W50" s="132">
        <v>42725</v>
      </c>
      <c r="X50" s="10">
        <v>28.16</v>
      </c>
      <c r="Y50" s="10">
        <v>28.46</v>
      </c>
      <c r="Z50" s="10">
        <v>27.9</v>
      </c>
      <c r="AA50" s="10">
        <v>28.45</v>
      </c>
      <c r="AB50" s="94">
        <v>5902500</v>
      </c>
      <c r="AC50" s="10">
        <v>28.45</v>
      </c>
      <c r="AD50" s="2">
        <f t="shared" si="0"/>
        <v>0.56000000000000227</v>
      </c>
      <c r="AE50" s="137">
        <f t="shared" si="1"/>
        <v>9.5812633073102393E-3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30.55</v>
      </c>
      <c r="Q51" s="2"/>
      <c r="T51" s="92" t="s">
        <v>105</v>
      </c>
      <c r="U51" s="129" t="s">
        <v>609</v>
      </c>
      <c r="W51" s="132">
        <v>42724</v>
      </c>
      <c r="X51" s="10">
        <v>28.28</v>
      </c>
      <c r="Y51" s="10">
        <v>28.48</v>
      </c>
      <c r="Z51" s="10">
        <v>28.05</v>
      </c>
      <c r="AA51" s="10">
        <v>28.18</v>
      </c>
      <c r="AB51" s="94">
        <v>5098700</v>
      </c>
      <c r="AC51" s="10">
        <v>28.18</v>
      </c>
      <c r="AD51" s="2">
        <f t="shared" si="0"/>
        <v>0.42999999999999972</v>
      </c>
      <c r="AE51" s="137">
        <f t="shared" si="1"/>
        <v>2.1337126600284861E-3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30.244500000000002</v>
      </c>
      <c r="Q52" s="2"/>
      <c r="T52" s="92" t="s">
        <v>106</v>
      </c>
      <c r="U52" s="129" t="s">
        <v>462</v>
      </c>
      <c r="W52" s="132">
        <v>42723</v>
      </c>
      <c r="X52" s="10">
        <v>28.1</v>
      </c>
      <c r="Y52" s="10">
        <v>28.3</v>
      </c>
      <c r="Z52" s="10">
        <v>27.94</v>
      </c>
      <c r="AA52" s="10">
        <v>28.12</v>
      </c>
      <c r="AB52" s="94">
        <v>5815000</v>
      </c>
      <c r="AC52" s="10">
        <v>28.12</v>
      </c>
      <c r="AD52" s="2">
        <f t="shared" si="0"/>
        <v>0.35999999999999943</v>
      </c>
      <c r="AE52" s="137">
        <f t="shared" si="1"/>
        <v>3.2108455226542709E-3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29.939</v>
      </c>
      <c r="Q53" s="2"/>
      <c r="T53" s="92" t="s">
        <v>107</v>
      </c>
      <c r="U53" s="130">
        <v>4421880</v>
      </c>
      <c r="W53" s="132">
        <v>42720</v>
      </c>
      <c r="X53" s="10">
        <v>28.05</v>
      </c>
      <c r="Y53" s="10">
        <v>28.49</v>
      </c>
      <c r="Z53" s="10">
        <v>27.87</v>
      </c>
      <c r="AA53" s="10">
        <v>28.03</v>
      </c>
      <c r="AB53" s="94">
        <v>11736200</v>
      </c>
      <c r="AC53" s="10">
        <v>28.03</v>
      </c>
      <c r="AD53" s="2">
        <f t="shared" si="0"/>
        <v>0.61999999999999744</v>
      </c>
      <c r="AE53" s="137">
        <f t="shared" si="1"/>
        <v>1.4290818149340634E-3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29.633500000000002</v>
      </c>
      <c r="T54" s="92" t="s">
        <v>110</v>
      </c>
      <c r="U54" s="130">
        <v>8906450</v>
      </c>
      <c r="W54" s="132">
        <v>42719</v>
      </c>
      <c r="X54" s="10">
        <v>28.2</v>
      </c>
      <c r="Y54" s="10">
        <v>28.32</v>
      </c>
      <c r="Z54" s="10">
        <v>27.67</v>
      </c>
      <c r="AA54" s="10">
        <v>27.99</v>
      </c>
      <c r="AB54" s="94">
        <v>15057400</v>
      </c>
      <c r="AC54" s="10">
        <v>27.99</v>
      </c>
      <c r="AD54" s="2">
        <f t="shared" si="0"/>
        <v>0.64999999999999858</v>
      </c>
      <c r="AE54" s="137">
        <f t="shared" si="1"/>
        <v>-1.0706638115631772E-3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29.327999999999999</v>
      </c>
      <c r="T55" s="92" t="s">
        <v>108</v>
      </c>
      <c r="U55" s="129" t="s">
        <v>610</v>
      </c>
      <c r="W55" s="132">
        <v>42718</v>
      </c>
      <c r="X55" s="10">
        <v>27.24</v>
      </c>
      <c r="Y55" s="10">
        <v>28.19</v>
      </c>
      <c r="Z55" s="10">
        <v>27.06</v>
      </c>
      <c r="AA55" s="10">
        <v>28.02</v>
      </c>
      <c r="AB55" s="94">
        <v>22223800</v>
      </c>
      <c r="AC55" s="10">
        <v>28.02</v>
      </c>
      <c r="AD55" s="2">
        <f t="shared" si="0"/>
        <v>1.1300000000000026</v>
      </c>
      <c r="AE55" s="137">
        <f t="shared" si="1"/>
        <v>3.6242603550295849E-2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29.022500000000001</v>
      </c>
      <c r="T56" s="92" t="s">
        <v>111</v>
      </c>
      <c r="U56" s="129">
        <v>18.559999999999999</v>
      </c>
      <c r="W56" s="132">
        <v>42717</v>
      </c>
      <c r="X56" s="10">
        <v>26.3</v>
      </c>
      <c r="Y56" s="10">
        <v>27.04</v>
      </c>
      <c r="Z56" s="10">
        <v>26.28</v>
      </c>
      <c r="AA56" s="10">
        <v>27.04</v>
      </c>
      <c r="AB56" s="94">
        <v>17339600</v>
      </c>
      <c r="AC56" s="10">
        <v>27.04</v>
      </c>
      <c r="AD56" s="2">
        <f t="shared" si="0"/>
        <v>0.75999999999999801</v>
      </c>
      <c r="AE56" s="137">
        <f t="shared" si="1"/>
        <v>2.6575550493545874E-2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28.716999999999999</v>
      </c>
      <c r="T57" s="92" t="s">
        <v>112</v>
      </c>
      <c r="U57" s="129">
        <v>1.64</v>
      </c>
      <c r="W57" s="132">
        <v>42716</v>
      </c>
      <c r="X57" s="10">
        <v>27.92</v>
      </c>
      <c r="Y57" s="10">
        <v>27.99</v>
      </c>
      <c r="Z57" s="10">
        <v>26.12</v>
      </c>
      <c r="AA57" s="10">
        <v>26.34</v>
      </c>
      <c r="AB57" s="94">
        <v>26527900</v>
      </c>
      <c r="AC57" s="10">
        <v>26.34</v>
      </c>
      <c r="AD57" s="2">
        <f t="shared" si="0"/>
        <v>1.8699999999999974</v>
      </c>
      <c r="AE57" s="137">
        <f t="shared" si="1"/>
        <v>-6.6288550159517956E-2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28.411500000000004</v>
      </c>
      <c r="T58" s="92" t="s">
        <v>109</v>
      </c>
      <c r="U58" s="129" t="s">
        <v>611</v>
      </c>
      <c r="W58" s="132">
        <v>42713</v>
      </c>
      <c r="X58" s="10">
        <v>28.62</v>
      </c>
      <c r="Y58" s="10">
        <v>30.42</v>
      </c>
      <c r="Z58" s="10">
        <v>27.54</v>
      </c>
      <c r="AA58" s="10">
        <v>28.21</v>
      </c>
      <c r="AB58" s="94">
        <v>41354700</v>
      </c>
      <c r="AC58" s="10">
        <v>28.21</v>
      </c>
      <c r="AD58" s="2">
        <f t="shared" si="0"/>
        <v>2.8800000000000026</v>
      </c>
      <c r="AE58" s="137">
        <f t="shared" si="1"/>
        <v>-1.501396648044695E-2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28.106000000000002</v>
      </c>
      <c r="W59" s="132">
        <v>42712</v>
      </c>
      <c r="X59" s="10">
        <v>28.24</v>
      </c>
      <c r="Y59" s="10">
        <v>28.66</v>
      </c>
      <c r="Z59" s="10">
        <v>28.14</v>
      </c>
      <c r="AA59" s="10">
        <v>28.64</v>
      </c>
      <c r="AB59" s="94">
        <v>10454600</v>
      </c>
      <c r="AC59" s="10">
        <v>28.64</v>
      </c>
      <c r="AD59" s="2">
        <f t="shared" si="0"/>
        <v>0.51999999999999957</v>
      </c>
      <c r="AE59" s="137">
        <f t="shared" si="1"/>
        <v>1.8854500177872602E-2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27.800500000000003</v>
      </c>
      <c r="W60" s="132">
        <v>42711</v>
      </c>
      <c r="X60" s="10">
        <v>27.48</v>
      </c>
      <c r="Y60" s="10">
        <v>28.14</v>
      </c>
      <c r="Z60" s="10">
        <v>27.39</v>
      </c>
      <c r="AA60" s="10">
        <v>28.11</v>
      </c>
      <c r="AB60" s="94">
        <v>9987800</v>
      </c>
      <c r="AC60" s="10">
        <v>28.11</v>
      </c>
      <c r="AD60" s="2">
        <f t="shared" si="0"/>
        <v>0.75</v>
      </c>
      <c r="AE60" s="137">
        <f t="shared" si="1"/>
        <v>2.218181818181808E-2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0"/>
      <c r="I61" s="261"/>
      <c r="J61" s="261"/>
      <c r="K61" s="261"/>
      <c r="L61" s="260"/>
      <c r="M61" s="260"/>
      <c r="O61" s="82">
        <v>0.9</v>
      </c>
      <c r="P61" s="82">
        <f t="shared" si="5"/>
        <v>27.495000000000001</v>
      </c>
      <c r="W61" s="132">
        <v>42710</v>
      </c>
      <c r="X61" s="10">
        <v>27.54</v>
      </c>
      <c r="Y61" s="10">
        <v>27.67</v>
      </c>
      <c r="Z61" s="10">
        <v>27.25</v>
      </c>
      <c r="AA61" s="10">
        <v>27.5</v>
      </c>
      <c r="AB61" s="94">
        <v>12649200</v>
      </c>
      <c r="AC61" s="10">
        <v>27.5</v>
      </c>
      <c r="AD61" s="2">
        <f t="shared" si="0"/>
        <v>0.42000000000000171</v>
      </c>
      <c r="AE61" s="137">
        <f t="shared" si="1"/>
        <v>-2.1770682148040121E-3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42709</v>
      </c>
      <c r="X62" s="10">
        <v>27.54</v>
      </c>
      <c r="Y62" s="10">
        <v>27.61</v>
      </c>
      <c r="Z62" s="10">
        <v>26.82</v>
      </c>
      <c r="AA62" s="10">
        <v>27.56</v>
      </c>
      <c r="AB62" s="94">
        <v>13787000</v>
      </c>
      <c r="AC62" s="10">
        <v>27.56</v>
      </c>
      <c r="AD62" s="2">
        <f t="shared" si="0"/>
        <v>0.78999999999999915</v>
      </c>
      <c r="AE62" s="137">
        <f t="shared" si="1"/>
        <v>5.839416058394109E-3</v>
      </c>
    </row>
    <row r="63" spans="1:31" ht="15.75" thickBot="1" x14ac:dyDescent="0.3">
      <c r="A63" s="462" t="s">
        <v>197</v>
      </c>
      <c r="B63" s="463"/>
      <c r="C63" s="464">
        <f>SumByColor($A$19,C46:C61)</f>
        <v>0</v>
      </c>
      <c r="D63" s="464"/>
      <c r="E63" s="464"/>
      <c r="F63" s="465">
        <f>SumByColor($A$19,F46:F61)</f>
        <v>0</v>
      </c>
      <c r="G63" s="464"/>
      <c r="H63" s="464">
        <f>SumByColor($A$19,H46:H61)</f>
        <v>0</v>
      </c>
      <c r="I63" s="464"/>
      <c r="J63" s="464"/>
      <c r="K63" s="465">
        <f>SumByColor($A$19,K46:K61)</f>
        <v>0</v>
      </c>
      <c r="L63" s="464"/>
      <c r="M63" s="465">
        <f>SumByColor($A$19,M46:M61)</f>
        <v>0</v>
      </c>
      <c r="W63" s="132">
        <v>42706</v>
      </c>
      <c r="X63" s="10">
        <v>28.33</v>
      </c>
      <c r="Y63" s="10">
        <v>28.33</v>
      </c>
      <c r="Z63" s="10">
        <v>27.2</v>
      </c>
      <c r="AA63" s="10">
        <v>27.4</v>
      </c>
      <c r="AB63" s="94">
        <v>10844900</v>
      </c>
      <c r="AC63" s="10">
        <v>27.4</v>
      </c>
      <c r="AD63" s="2">
        <f t="shared" si="0"/>
        <v>1.129999999999999</v>
      </c>
      <c r="AE63" s="137">
        <f t="shared" si="1"/>
        <v>-2.8368794326241176E-2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42705</v>
      </c>
      <c r="X64" s="10">
        <v>28.07</v>
      </c>
      <c r="Y64" s="10">
        <v>28.43</v>
      </c>
      <c r="Z64" s="10">
        <v>27.97</v>
      </c>
      <c r="AA64" s="10">
        <v>28.2</v>
      </c>
      <c r="AB64" s="94">
        <v>8941500</v>
      </c>
      <c r="AC64" s="10">
        <v>28.2</v>
      </c>
      <c r="AD64" s="2">
        <f t="shared" si="0"/>
        <v>0.46000000000000085</v>
      </c>
      <c r="AE64" s="137">
        <f t="shared" si="1"/>
        <v>3.2017075773747017E-3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42704</v>
      </c>
      <c r="X65" s="10">
        <v>28.39</v>
      </c>
      <c r="Y65" s="10">
        <v>28.54</v>
      </c>
      <c r="Z65" s="10">
        <v>28.11</v>
      </c>
      <c r="AA65" s="10">
        <v>28.11</v>
      </c>
      <c r="AB65" s="94">
        <v>9720400</v>
      </c>
      <c r="AC65" s="10">
        <v>28.11</v>
      </c>
      <c r="AD65" s="2">
        <f t="shared" si="0"/>
        <v>0.42999999999999972</v>
      </c>
      <c r="AE65" s="137">
        <f t="shared" si="1"/>
        <v>-1.2644889357218081E-2</v>
      </c>
    </row>
    <row r="66" spans="2:31" x14ac:dyDescent="0.25">
      <c r="W66" s="132">
        <v>42703</v>
      </c>
      <c r="X66" s="10">
        <v>28.42</v>
      </c>
      <c r="Y66" s="10">
        <v>28.52</v>
      </c>
      <c r="Z66" s="10">
        <v>28.17</v>
      </c>
      <c r="AA66" s="10">
        <v>28.47</v>
      </c>
      <c r="AB66" s="94">
        <v>7317800</v>
      </c>
      <c r="AC66" s="10">
        <v>28.47</v>
      </c>
      <c r="AD66" s="2">
        <f t="shared" si="0"/>
        <v>0.34999999999999787</v>
      </c>
      <c r="AE66" s="137">
        <f t="shared" si="1"/>
        <v>5.6517131755562389E-3</v>
      </c>
    </row>
    <row r="67" spans="2:31" x14ac:dyDescent="0.25">
      <c r="W67" s="132">
        <v>42702</v>
      </c>
      <c r="X67" s="10">
        <v>28.24</v>
      </c>
      <c r="Y67" s="10">
        <v>28.5</v>
      </c>
      <c r="Z67" s="10">
        <v>28.12</v>
      </c>
      <c r="AA67" s="10">
        <v>28.31</v>
      </c>
      <c r="AB67" s="94">
        <v>7388200</v>
      </c>
      <c r="AC67" s="10">
        <v>28.31</v>
      </c>
      <c r="AD67" s="2">
        <f>Y67-Z67</f>
        <v>0.37999999999999901</v>
      </c>
      <c r="AE67" s="137" t="e">
        <f>AC67/#REF!-1</f>
        <v>#REF!</v>
      </c>
    </row>
    <row r="68" spans="2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2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043" priority="11">
      <formula>F33&gt;0</formula>
    </cfRule>
    <cfRule type="expression" dxfId="1042" priority="12">
      <formula>F33&lt;0</formula>
    </cfRule>
  </conditionalFormatting>
  <conditionalFormatting sqref="Q7">
    <cfRule type="expression" dxfId="1041" priority="9">
      <formula>Q7&gt;0</formula>
    </cfRule>
    <cfRule type="expression" dxfId="1040" priority="10">
      <formula>Q7&lt;0</formula>
    </cfRule>
  </conditionalFormatting>
  <conditionalFormatting sqref="Q8">
    <cfRule type="expression" dxfId="1039" priority="7">
      <formula>Q8&gt;0</formula>
    </cfRule>
    <cfRule type="expression" dxfId="1038" priority="8">
      <formula>Q8&lt;0</formula>
    </cfRule>
  </conditionalFormatting>
  <conditionalFormatting sqref="F25:F32">
    <cfRule type="expression" dxfId="1037" priority="5">
      <formula>F25&gt;0</formula>
    </cfRule>
    <cfRule type="expression" dxfId="1036" priority="6">
      <formula>F25&lt;0</formula>
    </cfRule>
  </conditionalFormatting>
  <conditionalFormatting sqref="H25:H32">
    <cfRule type="expression" dxfId="1035" priority="3">
      <formula>H25&gt;0</formula>
    </cfRule>
    <cfRule type="expression" dxfId="1034" priority="4">
      <formula>H25&lt;0</formula>
    </cfRule>
  </conditionalFormatting>
  <conditionalFormatting sqref="Q10">
    <cfRule type="expression" dxfId="1033" priority="1">
      <formula>Q10&gt;0</formula>
    </cfRule>
    <cfRule type="expression" dxfId="103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11.71093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359</v>
      </c>
      <c r="B2" s="454">
        <v>42684</v>
      </c>
      <c r="C2" s="4">
        <v>100</v>
      </c>
      <c r="D2" s="3">
        <v>22.54</v>
      </c>
      <c r="E2" s="3">
        <v>0</v>
      </c>
      <c r="F2" s="3">
        <f t="shared" ref="F2:F10" si="0">D2*C2+E2</f>
        <v>2254</v>
      </c>
      <c r="G2" s="454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3"/>
      <c r="M2" s="3"/>
      <c r="O2" s="11" t="s">
        <v>57</v>
      </c>
      <c r="Q2">
        <f>C18-H18</f>
        <v>600</v>
      </c>
      <c r="T2" s="1" t="s">
        <v>528</v>
      </c>
      <c r="W2" s="132">
        <v>42797</v>
      </c>
      <c r="X2" s="10">
        <v>18.12</v>
      </c>
      <c r="Y2" s="10">
        <v>19.2</v>
      </c>
      <c r="Z2" s="10">
        <v>17.5</v>
      </c>
      <c r="AA2" s="10">
        <v>18.829999999999998</v>
      </c>
      <c r="AB2" s="94">
        <v>5734100</v>
      </c>
      <c r="AC2" s="10">
        <v>18.829999999999998</v>
      </c>
      <c r="AD2">
        <f>Y2-Z2</f>
        <v>1.6999999999999993</v>
      </c>
      <c r="AE2" s="137">
        <f>AC2/AC3-1</f>
        <v>-2.8379772961816374E-2</v>
      </c>
    </row>
    <row r="3" spans="1:31" x14ac:dyDescent="0.25">
      <c r="A3" s="23" t="s">
        <v>71</v>
      </c>
      <c r="B3" s="45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4">
        <v>42766</v>
      </c>
      <c r="H3" s="81">
        <v>100</v>
      </c>
      <c r="I3" s="44">
        <v>21.22</v>
      </c>
      <c r="J3" s="44">
        <v>0.05</v>
      </c>
      <c r="K3" s="44">
        <f>I3*H3-J3</f>
        <v>2121.9499999999998</v>
      </c>
      <c r="L3" s="4"/>
      <c r="M3" s="4"/>
      <c r="O3" s="11" t="s">
        <v>58</v>
      </c>
      <c r="Q3" s="490">
        <f>IF(Q2=0, Q4, (F18-K18-M18)/Q2)</f>
        <v>20.322750000000003</v>
      </c>
      <c r="T3" s="1"/>
      <c r="W3" s="132">
        <v>42796</v>
      </c>
      <c r="X3" s="10">
        <v>19.34</v>
      </c>
      <c r="Y3" s="10">
        <v>19.66</v>
      </c>
      <c r="Z3" s="10">
        <v>19.309999999999999</v>
      </c>
      <c r="AA3" s="10">
        <v>19.38</v>
      </c>
      <c r="AB3" s="94">
        <v>2026100</v>
      </c>
      <c r="AC3" s="10">
        <v>19.38</v>
      </c>
      <c r="AD3">
        <f t="shared" ref="AD3:AD66" si="1">Y3-Z3</f>
        <v>0.35000000000000142</v>
      </c>
      <c r="AE3" s="137">
        <f t="shared" ref="AE3:AE66" si="2">AC3/AC4-1</f>
        <v>-3.5989717223650075E-3</v>
      </c>
    </row>
    <row r="4" spans="1:31" x14ac:dyDescent="0.25">
      <c r="B4" s="454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4">
        <v>42766</v>
      </c>
      <c r="H4" s="81">
        <v>100</v>
      </c>
      <c r="I4" s="44">
        <v>21.58</v>
      </c>
      <c r="J4" s="44">
        <v>0.05</v>
      </c>
      <c r="K4" s="44">
        <f>I4*H4-J4</f>
        <v>2157.9499999999998</v>
      </c>
      <c r="L4" s="4"/>
      <c r="M4" s="4"/>
      <c r="O4" s="11" t="s">
        <v>66</v>
      </c>
      <c r="Q4" s="431">
        <v>19.52</v>
      </c>
      <c r="R4" s="499">
        <v>1.67E-2</v>
      </c>
      <c r="T4" s="162"/>
      <c r="U4" s="1"/>
      <c r="W4" s="132">
        <v>42795</v>
      </c>
      <c r="X4" s="10">
        <v>19.399999999999999</v>
      </c>
      <c r="Y4" s="10">
        <v>19.59</v>
      </c>
      <c r="Z4" s="10">
        <v>19.059999999999999</v>
      </c>
      <c r="AA4" s="10">
        <v>19.45</v>
      </c>
      <c r="AB4" s="94">
        <v>1784600</v>
      </c>
      <c r="AC4" s="10">
        <v>19.45</v>
      </c>
      <c r="AD4">
        <f t="shared" si="1"/>
        <v>0.53000000000000114</v>
      </c>
      <c r="AE4" s="137">
        <f t="shared" si="2"/>
        <v>5.1440329218088721E-4</v>
      </c>
    </row>
    <row r="5" spans="1:31" x14ac:dyDescent="0.25">
      <c r="A5" s="1">
        <v>42741</v>
      </c>
      <c r="B5" s="73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11712</v>
      </c>
      <c r="W5" s="132">
        <v>42794</v>
      </c>
      <c r="X5" s="10">
        <v>19.579999999999998</v>
      </c>
      <c r="Y5" s="10">
        <v>19.760000000000002</v>
      </c>
      <c r="Z5" s="10">
        <v>19.38</v>
      </c>
      <c r="AA5" s="10">
        <v>19.440000000000001</v>
      </c>
      <c r="AB5" s="94">
        <v>1587400</v>
      </c>
      <c r="AC5" s="10">
        <v>19.440000000000001</v>
      </c>
      <c r="AD5">
        <f t="shared" si="1"/>
        <v>0.38000000000000256</v>
      </c>
      <c r="AE5" s="137">
        <f t="shared" si="2"/>
        <v>-1.4698428788646689E-2</v>
      </c>
    </row>
    <row r="6" spans="1:31" x14ac:dyDescent="0.25">
      <c r="B6" s="73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12193.650000000001</v>
      </c>
      <c r="W6" s="132">
        <v>42793</v>
      </c>
      <c r="X6" s="10">
        <v>19.420000000000002</v>
      </c>
      <c r="Y6" s="10">
        <v>19.8</v>
      </c>
      <c r="Z6" s="10">
        <v>19.329999999999998</v>
      </c>
      <c r="AA6" s="10">
        <v>19.73</v>
      </c>
      <c r="AB6" s="94">
        <v>1208600</v>
      </c>
      <c r="AC6" s="10">
        <v>19.73</v>
      </c>
      <c r="AD6">
        <f t="shared" si="1"/>
        <v>0.47000000000000242</v>
      </c>
      <c r="AE6" s="137">
        <f t="shared" si="2"/>
        <v>1.4395886889460252E-2</v>
      </c>
    </row>
    <row r="7" spans="1:31" x14ac:dyDescent="0.25">
      <c r="B7" s="73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-136.67000000000098</v>
      </c>
      <c r="R7">
        <v>600</v>
      </c>
      <c r="W7" s="132">
        <v>42790</v>
      </c>
      <c r="X7" s="10">
        <v>19.3</v>
      </c>
      <c r="Y7" s="10">
        <v>19.5</v>
      </c>
      <c r="Z7" s="10">
        <v>19.170000000000002</v>
      </c>
      <c r="AA7" s="10">
        <v>19.45</v>
      </c>
      <c r="AB7" s="94">
        <v>1160000</v>
      </c>
      <c r="AC7" s="10">
        <v>19.45</v>
      </c>
      <c r="AD7">
        <f t="shared" si="1"/>
        <v>0.32999999999999829</v>
      </c>
      <c r="AE7" s="137">
        <f t="shared" si="2"/>
        <v>2.5773195876288568E-3</v>
      </c>
    </row>
    <row r="8" spans="1:31" x14ac:dyDescent="0.25">
      <c r="B8" s="73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-481.65000000000146</v>
      </c>
      <c r="W8" s="132">
        <v>42789</v>
      </c>
      <c r="X8" s="10">
        <v>19.43</v>
      </c>
      <c r="Y8" s="10">
        <v>19.68</v>
      </c>
      <c r="Z8" s="10">
        <v>19.34</v>
      </c>
      <c r="AA8" s="10">
        <v>19.399999999999999</v>
      </c>
      <c r="AB8" s="94">
        <v>972200</v>
      </c>
      <c r="AC8" s="10">
        <v>19.399999999999999</v>
      </c>
      <c r="AD8">
        <f t="shared" si="1"/>
        <v>0.33999999999999986</v>
      </c>
      <c r="AE8" s="137">
        <f t="shared" si="2"/>
        <v>3.6213140196585947E-3</v>
      </c>
    </row>
    <row r="9" spans="1:31" x14ac:dyDescent="0.25">
      <c r="B9" s="73">
        <v>42768</v>
      </c>
      <c r="C9" s="4">
        <v>100</v>
      </c>
      <c r="D9" s="3">
        <v>20.68</v>
      </c>
      <c r="E9" s="3">
        <v>0</v>
      </c>
      <c r="F9" s="3">
        <f t="shared" si="0"/>
        <v>2068</v>
      </c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-3.9500067658166459E-2</v>
      </c>
      <c r="W9" s="132">
        <v>42788</v>
      </c>
      <c r="X9" s="10">
        <v>19.149999999999999</v>
      </c>
      <c r="Y9" s="10">
        <v>19.440000000000001</v>
      </c>
      <c r="Z9" s="10">
        <v>19.11</v>
      </c>
      <c r="AA9" s="10">
        <v>19.329999999999998</v>
      </c>
      <c r="AB9" s="94">
        <v>747200</v>
      </c>
      <c r="AC9" s="10">
        <v>19.329999999999998</v>
      </c>
      <c r="AD9">
        <f t="shared" si="1"/>
        <v>0.33000000000000185</v>
      </c>
      <c r="AE9" s="137">
        <f t="shared" si="2"/>
        <v>5.2002080083202173E-3</v>
      </c>
    </row>
    <row r="10" spans="1:31" x14ac:dyDescent="0.25">
      <c r="B10" s="73">
        <v>42773</v>
      </c>
      <c r="C10" s="4">
        <v>100</v>
      </c>
      <c r="D10" s="2">
        <v>19.48</v>
      </c>
      <c r="E10" s="2">
        <v>0</v>
      </c>
      <c r="F10" s="2">
        <f t="shared" si="0"/>
        <v>1948</v>
      </c>
      <c r="H10" s="71"/>
      <c r="O10" s="11" t="s">
        <v>212</v>
      </c>
      <c r="P10" s="34"/>
      <c r="Q10" s="2">
        <f>M53</f>
        <v>344.98000000000047</v>
      </c>
      <c r="W10" s="132">
        <v>42787</v>
      </c>
      <c r="X10" s="10">
        <v>19.14</v>
      </c>
      <c r="Y10" s="10">
        <v>19.53</v>
      </c>
      <c r="Z10" s="10">
        <v>19.14</v>
      </c>
      <c r="AA10" s="10">
        <v>19.23</v>
      </c>
      <c r="AB10" s="94">
        <v>1028700</v>
      </c>
      <c r="AC10" s="10">
        <v>19.23</v>
      </c>
      <c r="AD10">
        <f t="shared" si="1"/>
        <v>0.39000000000000057</v>
      </c>
      <c r="AE10" s="137">
        <f t="shared" si="2"/>
        <v>5.2029136316344982E-4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19.39</v>
      </c>
      <c r="Y11" s="10">
        <v>19.41</v>
      </c>
      <c r="Z11" s="10">
        <v>19.079999999999998</v>
      </c>
      <c r="AA11" s="10">
        <v>19.22</v>
      </c>
      <c r="AB11" s="94">
        <v>973800</v>
      </c>
      <c r="AC11" s="10">
        <v>19.22</v>
      </c>
      <c r="AD11">
        <f t="shared" si="1"/>
        <v>0.33000000000000185</v>
      </c>
      <c r="AE11" s="137">
        <f t="shared" si="2"/>
        <v>-9.2783505154638846E-3</v>
      </c>
    </row>
    <row r="12" spans="1:31" x14ac:dyDescent="0.25">
      <c r="H12" s="71"/>
      <c r="W12" s="132">
        <v>42782</v>
      </c>
      <c r="X12" s="10">
        <v>18.579999999999998</v>
      </c>
      <c r="Y12" s="10">
        <v>19.489999999999998</v>
      </c>
      <c r="Z12" s="10">
        <v>18.2</v>
      </c>
      <c r="AA12" s="10">
        <v>19.399999999999999</v>
      </c>
      <c r="AB12" s="94">
        <v>2423500</v>
      </c>
      <c r="AC12" s="10">
        <v>19.399999999999999</v>
      </c>
      <c r="AD12">
        <f t="shared" si="1"/>
        <v>1.2899999999999991</v>
      </c>
      <c r="AE12" s="137">
        <f t="shared" si="2"/>
        <v>2.9723991507430991E-2</v>
      </c>
    </row>
    <row r="13" spans="1:31" x14ac:dyDescent="0.25">
      <c r="H13" s="71"/>
      <c r="W13" s="132">
        <v>42781</v>
      </c>
      <c r="X13" s="10">
        <v>19.12</v>
      </c>
      <c r="Y13" s="10">
        <v>19.22</v>
      </c>
      <c r="Z13" s="10">
        <v>18.760000000000002</v>
      </c>
      <c r="AA13" s="10">
        <v>18.84</v>
      </c>
      <c r="AB13" s="94">
        <v>1801100</v>
      </c>
      <c r="AC13" s="10">
        <v>18.84</v>
      </c>
      <c r="AD13">
        <f t="shared" si="1"/>
        <v>0.4599999999999973</v>
      </c>
      <c r="AE13" s="137">
        <f t="shared" si="2"/>
        <v>-1.9771071800208095E-2</v>
      </c>
    </row>
    <row r="14" spans="1:31" x14ac:dyDescent="0.25">
      <c r="H14" s="71"/>
      <c r="W14" s="132">
        <v>42780</v>
      </c>
      <c r="X14" s="10">
        <v>19.149999999999999</v>
      </c>
      <c r="Y14" s="10">
        <v>19.47</v>
      </c>
      <c r="Z14" s="10">
        <v>19.09</v>
      </c>
      <c r="AA14" s="10">
        <v>19.22</v>
      </c>
      <c r="AB14" s="94">
        <v>1108500</v>
      </c>
      <c r="AC14" s="10">
        <v>19.22</v>
      </c>
      <c r="AD14">
        <f t="shared" si="1"/>
        <v>0.37999999999999901</v>
      </c>
      <c r="AE14" s="137">
        <f t="shared" si="2"/>
        <v>-5.2002080083213276E-4</v>
      </c>
    </row>
    <row r="15" spans="1:31" x14ac:dyDescent="0.25">
      <c r="H15" s="71"/>
      <c r="W15" s="132">
        <v>42779</v>
      </c>
      <c r="X15" s="10">
        <v>19.79</v>
      </c>
      <c r="Y15" s="10">
        <v>19.829999999999998</v>
      </c>
      <c r="Z15" s="10">
        <v>18.809999999999999</v>
      </c>
      <c r="AA15" s="10">
        <v>19.23</v>
      </c>
      <c r="AB15" s="94">
        <v>2521200</v>
      </c>
      <c r="AC15" s="10">
        <v>19.23</v>
      </c>
      <c r="AD15">
        <f t="shared" si="1"/>
        <v>1.0199999999999996</v>
      </c>
      <c r="AE15" s="137">
        <f t="shared" si="2"/>
        <v>-4.1853512705530616E-2</v>
      </c>
    </row>
    <row r="16" spans="1:31" x14ac:dyDescent="0.25">
      <c r="H16" s="71"/>
      <c r="W16" s="132">
        <v>42776</v>
      </c>
      <c r="X16" s="10">
        <v>19.68</v>
      </c>
      <c r="Y16" s="10">
        <v>20.2</v>
      </c>
      <c r="Z16" s="10">
        <v>19.66</v>
      </c>
      <c r="AA16" s="10">
        <v>20.07</v>
      </c>
      <c r="AB16" s="94">
        <v>1169000</v>
      </c>
      <c r="AC16" s="10">
        <v>20.07</v>
      </c>
      <c r="AD16">
        <f t="shared" si="1"/>
        <v>0.53999999999999915</v>
      </c>
      <c r="AE16" s="137">
        <f t="shared" si="2"/>
        <v>2.0335536349771255E-2</v>
      </c>
    </row>
    <row r="17" spans="1:31" x14ac:dyDescent="0.25">
      <c r="W17" s="132">
        <v>42775</v>
      </c>
      <c r="X17" s="10">
        <v>19.52</v>
      </c>
      <c r="Y17" s="10">
        <v>20.22</v>
      </c>
      <c r="Z17" s="10">
        <v>19.27</v>
      </c>
      <c r="AA17" s="10">
        <v>19.670000000000002</v>
      </c>
      <c r="AB17" s="94">
        <v>1802200</v>
      </c>
      <c r="AC17" s="10">
        <v>19.670000000000002</v>
      </c>
      <c r="AD17">
        <f t="shared" si="1"/>
        <v>0.94999999999999929</v>
      </c>
      <c r="AE17" s="137">
        <f t="shared" si="2"/>
        <v>-3.0556924593395651E-2</v>
      </c>
    </row>
    <row r="18" spans="1:31" x14ac:dyDescent="0.25">
      <c r="A18" s="32" t="s">
        <v>81</v>
      </c>
      <c r="B18" s="14"/>
      <c r="C18" s="14">
        <f>SUM(C2:C10)</f>
        <v>900</v>
      </c>
      <c r="D18" s="18"/>
      <c r="E18" s="18"/>
      <c r="F18" s="18">
        <f>SUM(F2:F10)</f>
        <v>18671</v>
      </c>
      <c r="G18" s="14"/>
      <c r="H18" s="14">
        <f>SUM(H2:H5)</f>
        <v>300</v>
      </c>
      <c r="I18" s="18"/>
      <c r="J18" s="18"/>
      <c r="K18" s="18">
        <f>SUM(K2:K5)</f>
        <v>6477.3499999999995</v>
      </c>
      <c r="L18" s="14"/>
      <c r="M18" s="18">
        <f>SUM(M2:M10)</f>
        <v>0</v>
      </c>
      <c r="W18" s="132">
        <v>42774</v>
      </c>
      <c r="X18" s="10">
        <v>19.55</v>
      </c>
      <c r="Y18" s="10">
        <v>20.36</v>
      </c>
      <c r="Z18" s="10">
        <v>19.37</v>
      </c>
      <c r="AA18" s="10">
        <v>20.29</v>
      </c>
      <c r="AB18" s="94">
        <v>1535400</v>
      </c>
      <c r="AC18" s="10">
        <v>20.29</v>
      </c>
      <c r="AD18">
        <f t="shared" si="1"/>
        <v>0.98999999999999844</v>
      </c>
      <c r="AE18" s="137">
        <f t="shared" si="2"/>
        <v>3.4676185619581856E-2</v>
      </c>
    </row>
    <row r="19" spans="1:31" ht="15.75" thickBot="1" x14ac:dyDescent="0.3">
      <c r="A19" s="353" t="s">
        <v>197</v>
      </c>
      <c r="B19" s="354"/>
      <c r="C19" s="355">
        <f>SumByColor($A$19,C2:C17)</f>
        <v>300</v>
      </c>
      <c r="D19" s="355"/>
      <c r="E19" s="355"/>
      <c r="F19" s="356">
        <f>SumByColor($A$19,F2:F17)</f>
        <v>6347</v>
      </c>
      <c r="G19" s="355"/>
      <c r="H19" s="355">
        <f>SumByColor($A$19,H2:H17)</f>
        <v>300</v>
      </c>
      <c r="I19" s="355"/>
      <c r="J19" s="355"/>
      <c r="K19" s="356">
        <f>SumByColor($A$19,K2:K17)</f>
        <v>6477</v>
      </c>
      <c r="L19" s="355"/>
      <c r="M19" s="356">
        <f>SumByColor($A$19,M2:M17)</f>
        <v>0</v>
      </c>
      <c r="W19" s="132">
        <v>42773</v>
      </c>
      <c r="X19" s="10">
        <v>20.02</v>
      </c>
      <c r="Y19" s="10">
        <v>20.12</v>
      </c>
      <c r="Z19" s="10">
        <v>19.47</v>
      </c>
      <c r="AA19" s="10">
        <v>19.61</v>
      </c>
      <c r="AB19" s="94">
        <v>1650500</v>
      </c>
      <c r="AC19" s="10">
        <v>19.61</v>
      </c>
      <c r="AD19">
        <f t="shared" si="1"/>
        <v>0.65000000000000213</v>
      </c>
      <c r="AE19" s="137">
        <f t="shared" si="2"/>
        <v>-1.9500000000000073E-2</v>
      </c>
    </row>
    <row r="20" spans="1:31" x14ac:dyDescent="0.25">
      <c r="W20" s="132">
        <v>42772</v>
      </c>
      <c r="X20" s="10">
        <v>20.12</v>
      </c>
      <c r="Y20" s="10">
        <v>20.23</v>
      </c>
      <c r="Z20" s="10">
        <v>19.920000000000002</v>
      </c>
      <c r="AA20" s="10">
        <v>20</v>
      </c>
      <c r="AB20" s="94">
        <v>1310400</v>
      </c>
      <c r="AC20" s="10">
        <v>20</v>
      </c>
      <c r="AD20">
        <f t="shared" si="1"/>
        <v>0.30999999999999872</v>
      </c>
      <c r="AE20" s="137">
        <f t="shared" si="2"/>
        <v>-5.9642147117296984E-3</v>
      </c>
    </row>
    <row r="21" spans="1:31" x14ac:dyDescent="0.25">
      <c r="W21" s="132">
        <v>42769</v>
      </c>
      <c r="X21" s="10">
        <v>20.55</v>
      </c>
      <c r="Y21" s="10">
        <v>20.77</v>
      </c>
      <c r="Z21" s="10">
        <v>20.03</v>
      </c>
      <c r="AA21" s="10">
        <v>20.12</v>
      </c>
      <c r="AB21" s="94">
        <v>1882000</v>
      </c>
      <c r="AC21" s="10">
        <v>20.12</v>
      </c>
      <c r="AD21">
        <f t="shared" si="1"/>
        <v>0.73999999999999844</v>
      </c>
      <c r="AE21" s="137">
        <f t="shared" si="2"/>
        <v>-1.9493177387914118E-2</v>
      </c>
    </row>
    <row r="22" spans="1:31" x14ac:dyDescent="0.25">
      <c r="W22" s="132">
        <v>42768</v>
      </c>
      <c r="X22" s="10">
        <v>20.95</v>
      </c>
      <c r="Y22" s="10">
        <v>21.18</v>
      </c>
      <c r="Z22" s="10">
        <v>20.5</v>
      </c>
      <c r="AA22" s="10">
        <v>20.52</v>
      </c>
      <c r="AB22" s="94">
        <v>1732900</v>
      </c>
      <c r="AC22" s="10">
        <v>20.52</v>
      </c>
      <c r="AD22">
        <f t="shared" si="1"/>
        <v>0.67999999999999972</v>
      </c>
      <c r="AE22" s="137">
        <f t="shared" si="2"/>
        <v>-3.3898305084745672E-2</v>
      </c>
    </row>
    <row r="23" spans="1:31" x14ac:dyDescent="0.25">
      <c r="W23" s="132">
        <v>42767</v>
      </c>
      <c r="X23" s="10">
        <v>21.02</v>
      </c>
      <c r="Y23" s="10">
        <v>21.37</v>
      </c>
      <c r="Z23" s="10">
        <v>21.02</v>
      </c>
      <c r="AA23" s="10">
        <v>21.24</v>
      </c>
      <c r="AB23" s="94">
        <v>1408000</v>
      </c>
      <c r="AC23" s="10">
        <v>21.24</v>
      </c>
      <c r="AD23">
        <f t="shared" si="1"/>
        <v>0.35000000000000142</v>
      </c>
      <c r="AE23" s="137">
        <f t="shared" si="2"/>
        <v>-2.8169014084508115E-3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20.329999999999998</v>
      </c>
      <c r="Y24" s="10">
        <v>21.84</v>
      </c>
      <c r="Z24" s="10">
        <v>20.329999999999998</v>
      </c>
      <c r="AA24" s="10">
        <v>21.3</v>
      </c>
      <c r="AB24" s="94">
        <v>3948000</v>
      </c>
      <c r="AC24" s="10">
        <v>21.3</v>
      </c>
      <c r="AD24">
        <f t="shared" si="1"/>
        <v>1.5100000000000016</v>
      </c>
      <c r="AE24" s="137">
        <f t="shared" si="2"/>
        <v>5.4455445544554504E-2</v>
      </c>
    </row>
    <row r="25" spans="1:31" x14ac:dyDescent="0.25">
      <c r="B25" s="192">
        <v>42701</v>
      </c>
      <c r="C25" s="10">
        <v>200</v>
      </c>
      <c r="D25" s="199">
        <v>21.91</v>
      </c>
      <c r="E25" s="40">
        <v>23.82</v>
      </c>
      <c r="F25" s="40">
        <f t="shared" ref="F25:F40" si="3">C25*(E25-D25)</f>
        <v>382</v>
      </c>
      <c r="G25" s="40">
        <f t="shared" ref="G25:G40" si="4">D25*C25</f>
        <v>4382</v>
      </c>
      <c r="H25" s="230">
        <f t="shared" ref="H25:H40" si="5">(E25-D25)/D25</f>
        <v>8.7174806024646292E-2</v>
      </c>
      <c r="I25" s="40"/>
      <c r="W25" s="132">
        <v>42765</v>
      </c>
      <c r="X25" s="10">
        <v>20.399999999999999</v>
      </c>
      <c r="Y25" s="10">
        <v>20.57</v>
      </c>
      <c r="Z25" s="10">
        <v>20</v>
      </c>
      <c r="AA25" s="10">
        <v>20.2</v>
      </c>
      <c r="AB25" s="94">
        <v>975700</v>
      </c>
      <c r="AC25" s="10">
        <v>20.2</v>
      </c>
      <c r="AD25">
        <f t="shared" si="1"/>
        <v>0.57000000000000028</v>
      </c>
      <c r="AE25" s="137">
        <f t="shared" si="2"/>
        <v>-1.8464528668610258E-2</v>
      </c>
    </row>
    <row r="26" spans="1:31" x14ac:dyDescent="0.25">
      <c r="B26" s="192">
        <v>42706</v>
      </c>
      <c r="C26" s="10">
        <v>300</v>
      </c>
      <c r="D26" s="199">
        <v>21.65</v>
      </c>
      <c r="E26" s="40">
        <v>21.1</v>
      </c>
      <c r="F26" s="40">
        <f t="shared" si="3"/>
        <v>-164.99999999999915</v>
      </c>
      <c r="G26" s="40">
        <f t="shared" si="4"/>
        <v>6495</v>
      </c>
      <c r="H26" s="230">
        <f t="shared" si="5"/>
        <v>-2.5404157043879778E-2</v>
      </c>
      <c r="I26" s="40"/>
      <c r="W26" s="132">
        <v>42762</v>
      </c>
      <c r="X26" s="10">
        <v>20.73</v>
      </c>
      <c r="Y26" s="10">
        <v>20.75</v>
      </c>
      <c r="Z26" s="10">
        <v>20.329999999999998</v>
      </c>
      <c r="AA26" s="10">
        <v>20.58</v>
      </c>
      <c r="AB26" s="94">
        <v>827600</v>
      </c>
      <c r="AC26" s="10">
        <v>20.58</v>
      </c>
      <c r="AD26">
        <f t="shared" si="1"/>
        <v>0.42000000000000171</v>
      </c>
      <c r="AE26" s="137">
        <f t="shared" si="2"/>
        <v>-1.057692307692315E-2</v>
      </c>
    </row>
    <row r="27" spans="1:31" x14ac:dyDescent="0.25">
      <c r="B27" s="192">
        <v>42724</v>
      </c>
      <c r="C27" s="10">
        <v>200</v>
      </c>
      <c r="D27" s="199">
        <v>21.4878</v>
      </c>
      <c r="E27" s="40">
        <v>21.98</v>
      </c>
      <c r="F27" s="40">
        <f t="shared" si="3"/>
        <v>98.440000000000083</v>
      </c>
      <c r="G27" s="40">
        <f t="shared" si="4"/>
        <v>4297.5600000000004</v>
      </c>
      <c r="H27" s="230">
        <f t="shared" si="5"/>
        <v>2.2906021091037725E-2</v>
      </c>
      <c r="I27" s="40"/>
      <c r="W27" s="132">
        <v>42761</v>
      </c>
      <c r="X27" s="10">
        <v>20.94</v>
      </c>
      <c r="Y27" s="10">
        <v>20.94</v>
      </c>
      <c r="Z27" s="10">
        <v>20.66</v>
      </c>
      <c r="AA27" s="10">
        <v>20.8</v>
      </c>
      <c r="AB27" s="94">
        <v>1085100</v>
      </c>
      <c r="AC27" s="10">
        <v>20.8</v>
      </c>
      <c r="AD27">
        <f t="shared" si="1"/>
        <v>0.28000000000000114</v>
      </c>
      <c r="AE27" s="137">
        <f t="shared" si="2"/>
        <v>-4.3082814743896636E-3</v>
      </c>
    </row>
    <row r="28" spans="1:31" x14ac:dyDescent="0.25">
      <c r="B28" s="192">
        <v>42732</v>
      </c>
      <c r="C28" s="10">
        <v>300</v>
      </c>
      <c r="D28" s="199">
        <v>21.345199999999998</v>
      </c>
      <c r="E28" s="40">
        <v>21.56</v>
      </c>
      <c r="F28" s="40">
        <f t="shared" si="3"/>
        <v>64.440000000000097</v>
      </c>
      <c r="G28" s="40">
        <f t="shared" si="4"/>
        <v>6403.5599999999995</v>
      </c>
      <c r="H28" s="230">
        <f t="shared" si="5"/>
        <v>1.0063152371493373E-2</v>
      </c>
      <c r="I28" s="40"/>
      <c r="W28" s="132">
        <v>42760</v>
      </c>
      <c r="X28" s="10">
        <v>20.8</v>
      </c>
      <c r="Y28" s="10">
        <v>20.94</v>
      </c>
      <c r="Z28" s="10">
        <v>20.52</v>
      </c>
      <c r="AA28" s="10">
        <v>20.89</v>
      </c>
      <c r="AB28" s="94">
        <v>1076700</v>
      </c>
      <c r="AC28" s="10">
        <v>20.89</v>
      </c>
      <c r="AD28">
        <f t="shared" si="1"/>
        <v>0.42000000000000171</v>
      </c>
      <c r="AE28" s="137">
        <f t="shared" si="2"/>
        <v>7.232401157184265E-3</v>
      </c>
    </row>
    <row r="29" spans="1:31" x14ac:dyDescent="0.25">
      <c r="B29" s="192">
        <v>42739</v>
      </c>
      <c r="C29" s="10">
        <v>300</v>
      </c>
      <c r="D29" s="199">
        <v>21.345199999999998</v>
      </c>
      <c r="E29" s="40">
        <v>20.9</v>
      </c>
      <c r="F29" s="40">
        <f t="shared" si="3"/>
        <v>-133.55999999999995</v>
      </c>
      <c r="G29" s="40">
        <f t="shared" si="4"/>
        <v>6403.5599999999995</v>
      </c>
      <c r="H29" s="230">
        <f t="shared" si="5"/>
        <v>-2.0857148211307453E-2</v>
      </c>
      <c r="I29" s="40"/>
      <c r="W29" s="132">
        <v>42759</v>
      </c>
      <c r="X29" s="10">
        <v>20</v>
      </c>
      <c r="Y29" s="10">
        <v>20.8</v>
      </c>
      <c r="Z29" s="10">
        <v>19.89</v>
      </c>
      <c r="AA29" s="10">
        <v>20.74</v>
      </c>
      <c r="AB29" s="94">
        <v>1819600</v>
      </c>
      <c r="AC29" s="10">
        <v>20.74</v>
      </c>
      <c r="AD29">
        <f t="shared" si="1"/>
        <v>0.91000000000000014</v>
      </c>
      <c r="AE29" s="137">
        <f t="shared" si="2"/>
        <v>3.0815109343936165E-2</v>
      </c>
    </row>
    <row r="30" spans="1:31" x14ac:dyDescent="0.25">
      <c r="B30" s="192">
        <v>42745</v>
      </c>
      <c r="C30" s="7">
        <v>300</v>
      </c>
      <c r="D30" s="78">
        <v>21.345199999999998</v>
      </c>
      <c r="E30" s="40">
        <v>20.58</v>
      </c>
      <c r="F30" s="40">
        <f t="shared" si="3"/>
        <v>-229.56000000000003</v>
      </c>
      <c r="G30" s="40">
        <f t="shared" si="4"/>
        <v>6403.5599999999995</v>
      </c>
      <c r="H30" s="230">
        <f t="shared" si="5"/>
        <v>-3.5848809099938164E-2</v>
      </c>
      <c r="I30" s="40"/>
      <c r="W30" s="132">
        <v>42758</v>
      </c>
      <c r="X30" s="10">
        <v>20.079999999999998</v>
      </c>
      <c r="Y30" s="10">
        <v>20.22</v>
      </c>
      <c r="Z30" s="10">
        <v>20.010000000000002</v>
      </c>
      <c r="AA30" s="10">
        <v>20.12</v>
      </c>
      <c r="AB30" s="94">
        <v>1009400</v>
      </c>
      <c r="AC30" s="10">
        <v>20.12</v>
      </c>
      <c r="AD30">
        <f t="shared" si="1"/>
        <v>0.2099999999999973</v>
      </c>
      <c r="AE30" s="137">
        <f t="shared" si="2"/>
        <v>-4.967709885741467E-4</v>
      </c>
    </row>
    <row r="31" spans="1:31" x14ac:dyDescent="0.25">
      <c r="B31" s="192">
        <v>42746</v>
      </c>
      <c r="C31" s="10">
        <v>400</v>
      </c>
      <c r="D31" s="199">
        <v>21.053879999999999</v>
      </c>
      <c r="E31" s="40">
        <v>20.309999999999999</v>
      </c>
      <c r="F31" s="40">
        <f t="shared" si="3"/>
        <v>-297.55200000000031</v>
      </c>
      <c r="G31" s="40">
        <f t="shared" si="4"/>
        <v>8421.5519999999997</v>
      </c>
      <c r="H31" s="230">
        <f t="shared" si="5"/>
        <v>-3.5332204800255382E-2</v>
      </c>
      <c r="I31" s="40"/>
      <c r="W31" s="132">
        <v>42755</v>
      </c>
      <c r="X31" s="10">
        <v>20.22</v>
      </c>
      <c r="Y31" s="10">
        <v>20.420000000000002</v>
      </c>
      <c r="Z31" s="10">
        <v>20.11</v>
      </c>
      <c r="AA31" s="10">
        <v>20.13</v>
      </c>
      <c r="AB31" s="94">
        <v>966400</v>
      </c>
      <c r="AC31" s="10">
        <v>20.13</v>
      </c>
      <c r="AD31">
        <f t="shared" si="1"/>
        <v>0.31000000000000227</v>
      </c>
      <c r="AE31" s="137">
        <f t="shared" si="2"/>
        <v>-6.4165844027641583E-3</v>
      </c>
    </row>
    <row r="32" spans="1:31" x14ac:dyDescent="0.25">
      <c r="A32" t="s">
        <v>378</v>
      </c>
      <c r="B32" s="192">
        <v>42754</v>
      </c>
      <c r="C32" s="583">
        <v>600</v>
      </c>
      <c r="D32" s="625">
        <v>20.76258</v>
      </c>
      <c r="E32" s="40">
        <v>20.260000000000002</v>
      </c>
      <c r="F32" s="40">
        <f t="shared" si="3"/>
        <v>-301.54799999999898</v>
      </c>
      <c r="G32" s="40">
        <f t="shared" si="4"/>
        <v>12457.548000000001</v>
      </c>
      <c r="H32" s="230">
        <f t="shared" si="5"/>
        <v>-2.4206047610653314E-2</v>
      </c>
      <c r="I32" s="40" t="s">
        <v>371</v>
      </c>
      <c r="W32" s="132">
        <v>42754</v>
      </c>
      <c r="X32" s="10">
        <v>20.34</v>
      </c>
      <c r="Y32" s="10">
        <v>20.65</v>
      </c>
      <c r="Z32" s="10">
        <v>20.05</v>
      </c>
      <c r="AA32" s="10">
        <v>20.260000000000002</v>
      </c>
      <c r="AB32" s="94">
        <v>1308000</v>
      </c>
      <c r="AC32" s="10">
        <v>20.260000000000002</v>
      </c>
      <c r="AD32">
        <f t="shared" si="1"/>
        <v>0.59999999999999787</v>
      </c>
      <c r="AE32" s="137">
        <f t="shared" si="2"/>
        <v>-9.7751710654936375E-3</v>
      </c>
    </row>
    <row r="33" spans="1:31" x14ac:dyDescent="0.25">
      <c r="A33" t="s">
        <v>378</v>
      </c>
      <c r="B33" s="192">
        <v>42760</v>
      </c>
      <c r="C33" s="10">
        <v>600</v>
      </c>
      <c r="D33" s="199">
        <v>20.76258</v>
      </c>
      <c r="E33" s="40">
        <v>20.89</v>
      </c>
      <c r="F33" s="40">
        <f t="shared" si="3"/>
        <v>76.452000000000453</v>
      </c>
      <c r="G33" s="40">
        <f t="shared" si="4"/>
        <v>12457.548000000001</v>
      </c>
      <c r="H33" s="230">
        <f t="shared" si="5"/>
        <v>6.1370022415326402E-3</v>
      </c>
      <c r="I33" s="40"/>
      <c r="W33" s="132">
        <v>42753</v>
      </c>
      <c r="X33" s="10">
        <v>20.72</v>
      </c>
      <c r="Y33" s="10">
        <v>20.78</v>
      </c>
      <c r="Z33" s="10">
        <v>20.260000000000002</v>
      </c>
      <c r="AA33" s="10">
        <v>20.46</v>
      </c>
      <c r="AB33" s="94">
        <v>1592900</v>
      </c>
      <c r="AC33" s="10">
        <v>20.46</v>
      </c>
      <c r="AD33">
        <f t="shared" si="1"/>
        <v>0.51999999999999957</v>
      </c>
      <c r="AE33" s="137">
        <f t="shared" si="2"/>
        <v>-1.2548262548262468E-2</v>
      </c>
    </row>
    <row r="34" spans="1:31" x14ac:dyDescent="0.25">
      <c r="A34" t="s">
        <v>413</v>
      </c>
      <c r="B34" s="192">
        <v>42764</v>
      </c>
      <c r="C34" s="10">
        <v>600</v>
      </c>
      <c r="D34" s="199">
        <v>20.76258</v>
      </c>
      <c r="E34" s="40">
        <v>20.58</v>
      </c>
      <c r="F34" s="40">
        <f t="shared" si="3"/>
        <v>-109.54800000000091</v>
      </c>
      <c r="G34" s="40">
        <f t="shared" si="4"/>
        <v>12457.548000000001</v>
      </c>
      <c r="H34" s="230">
        <f t="shared" si="5"/>
        <v>-8.7937048285907406E-3</v>
      </c>
      <c r="I34" s="40"/>
      <c r="W34" s="132">
        <v>42752</v>
      </c>
      <c r="X34" s="10">
        <v>20.5</v>
      </c>
      <c r="Y34" s="10">
        <v>20.83</v>
      </c>
      <c r="Z34" s="10">
        <v>20.32</v>
      </c>
      <c r="AA34" s="10">
        <v>20.72</v>
      </c>
      <c r="AB34" s="94">
        <v>1229100</v>
      </c>
      <c r="AC34" s="10">
        <v>20.72</v>
      </c>
      <c r="AD34">
        <f t="shared" si="1"/>
        <v>0.50999999999999801</v>
      </c>
      <c r="AE34" s="137">
        <f t="shared" si="2"/>
        <v>5.8252427184464217E-3</v>
      </c>
    </row>
    <row r="35" spans="1:31" x14ac:dyDescent="0.25">
      <c r="A35" t="s">
        <v>425</v>
      </c>
      <c r="B35" s="192">
        <v>42766</v>
      </c>
      <c r="C35" s="10">
        <v>400</v>
      </c>
      <c r="D35" s="199">
        <v>20.444130000000001</v>
      </c>
      <c r="E35" s="40">
        <v>21.3</v>
      </c>
      <c r="F35" s="40">
        <f t="shared" si="3"/>
        <v>342.34799999999979</v>
      </c>
      <c r="G35" s="40">
        <f t="shared" si="4"/>
        <v>8177.652</v>
      </c>
      <c r="H35" s="230">
        <f t="shared" si="5"/>
        <v>4.1863850405960017E-2</v>
      </c>
      <c r="I35" s="40"/>
      <c r="W35" s="132">
        <v>42748</v>
      </c>
      <c r="X35" s="10">
        <v>20.68</v>
      </c>
      <c r="Y35" s="10">
        <v>20.93</v>
      </c>
      <c r="Z35" s="10">
        <v>20.43</v>
      </c>
      <c r="AA35" s="10">
        <v>20.6</v>
      </c>
      <c r="AB35" s="94">
        <v>1097300</v>
      </c>
      <c r="AC35" s="10">
        <v>20.6</v>
      </c>
      <c r="AD35">
        <f t="shared" si="1"/>
        <v>0.5</v>
      </c>
      <c r="AE35" s="137">
        <f t="shared" si="2"/>
        <v>-9.6993210475260216E-4</v>
      </c>
    </row>
    <row r="36" spans="1:31" x14ac:dyDescent="0.25">
      <c r="A36" t="s">
        <v>434</v>
      </c>
      <c r="B36" s="192">
        <v>42768</v>
      </c>
      <c r="C36" s="10">
        <v>500</v>
      </c>
      <c r="D36" s="199">
        <v>20.491299999999999</v>
      </c>
      <c r="E36" s="40">
        <v>20.52</v>
      </c>
      <c r="F36" s="40">
        <f t="shared" si="3"/>
        <v>14.350000000000307</v>
      </c>
      <c r="G36" s="40">
        <f t="shared" si="4"/>
        <v>10245.65</v>
      </c>
      <c r="H36" s="230">
        <f t="shared" si="5"/>
        <v>1.4005943985984596E-3</v>
      </c>
      <c r="I36" s="40"/>
      <c r="W36" s="132">
        <v>42747</v>
      </c>
      <c r="X36" s="10">
        <v>20.309999999999999</v>
      </c>
      <c r="Y36" s="10">
        <v>20.72</v>
      </c>
      <c r="Z36" s="10">
        <v>20.07</v>
      </c>
      <c r="AA36" s="10">
        <v>20.62</v>
      </c>
      <c r="AB36" s="94">
        <v>1378300</v>
      </c>
      <c r="AC36" s="10">
        <v>20.62</v>
      </c>
      <c r="AD36">
        <f t="shared" si="1"/>
        <v>0.64999999999999858</v>
      </c>
      <c r="AE36" s="137">
        <f t="shared" si="2"/>
        <v>1.5263417035942917E-2</v>
      </c>
    </row>
    <row r="37" spans="1:31" x14ac:dyDescent="0.25">
      <c r="A37" t="s">
        <v>458</v>
      </c>
      <c r="B37" s="192">
        <v>42773</v>
      </c>
      <c r="C37" s="583">
        <v>600</v>
      </c>
      <c r="D37" s="625">
        <v>20.322749999999999</v>
      </c>
      <c r="E37" s="40">
        <v>19.61</v>
      </c>
      <c r="F37" s="40">
        <f t="shared" si="3"/>
        <v>-427.64999999999986</v>
      </c>
      <c r="G37" s="40">
        <f t="shared" si="4"/>
        <v>12193.65</v>
      </c>
      <c r="H37" s="230">
        <f t="shared" si="5"/>
        <v>-3.5071533134049267E-2</v>
      </c>
      <c r="I37" s="40"/>
      <c r="W37" s="132">
        <v>42746</v>
      </c>
      <c r="X37" s="10">
        <v>20.56</v>
      </c>
      <c r="Y37" s="10">
        <v>20.58</v>
      </c>
      <c r="Z37" s="10">
        <v>20.02</v>
      </c>
      <c r="AA37" s="10">
        <v>20.309999999999999</v>
      </c>
      <c r="AB37" s="94">
        <v>1344300</v>
      </c>
      <c r="AC37" s="10">
        <v>20.309999999999999</v>
      </c>
      <c r="AD37">
        <f t="shared" si="1"/>
        <v>0.55999999999999872</v>
      </c>
      <c r="AE37" s="137">
        <f t="shared" si="2"/>
        <v>-1.3119533527696792E-2</v>
      </c>
    </row>
    <row r="38" spans="1:31" x14ac:dyDescent="0.25">
      <c r="A38" t="s">
        <v>378</v>
      </c>
      <c r="B38" s="192">
        <v>42778</v>
      </c>
      <c r="C38" s="10">
        <v>600</v>
      </c>
      <c r="D38" s="199">
        <v>20.322749999999999</v>
      </c>
      <c r="E38" s="40">
        <v>20.07</v>
      </c>
      <c r="F38" s="40">
        <f t="shared" si="3"/>
        <v>-151.64999999999935</v>
      </c>
      <c r="G38" s="40">
        <f t="shared" si="4"/>
        <v>12193.65</v>
      </c>
      <c r="H38" s="230">
        <f t="shared" si="5"/>
        <v>-1.2436801121895361E-2</v>
      </c>
      <c r="I38" s="40"/>
      <c r="W38" s="132">
        <v>42745</v>
      </c>
      <c r="X38" s="10">
        <v>20.99</v>
      </c>
      <c r="Y38" s="10">
        <v>21</v>
      </c>
      <c r="Z38" s="10">
        <v>20.46</v>
      </c>
      <c r="AA38" s="10">
        <v>20.58</v>
      </c>
      <c r="AB38" s="94">
        <v>1581200</v>
      </c>
      <c r="AC38" s="10">
        <v>20.58</v>
      </c>
      <c r="AD38">
        <f t="shared" si="1"/>
        <v>0.53999999999999915</v>
      </c>
      <c r="AE38" s="137">
        <f t="shared" si="2"/>
        <v>-2.0000000000000129E-2</v>
      </c>
    </row>
    <row r="39" spans="1:31" x14ac:dyDescent="0.25">
      <c r="A39" t="s">
        <v>378</v>
      </c>
      <c r="B39" s="192">
        <v>42779</v>
      </c>
      <c r="C39" s="10">
        <v>600</v>
      </c>
      <c r="D39" s="199">
        <v>20.322749999999999</v>
      </c>
      <c r="E39" s="40">
        <v>19.23</v>
      </c>
      <c r="F39" s="40">
        <f t="shared" si="3"/>
        <v>-655.6499999999993</v>
      </c>
      <c r="G39" s="40">
        <f t="shared" si="4"/>
        <v>12193.65</v>
      </c>
      <c r="H39" s="230">
        <f t="shared" si="5"/>
        <v>-5.3769790013654589E-2</v>
      </c>
      <c r="I39" s="40"/>
      <c r="W39" s="132">
        <v>42744</v>
      </c>
      <c r="X39" s="10">
        <v>21</v>
      </c>
      <c r="Y39" s="10">
        <v>21.14</v>
      </c>
      <c r="Z39" s="10">
        <v>20.85</v>
      </c>
      <c r="AA39" s="10">
        <v>21</v>
      </c>
      <c r="AB39" s="94">
        <v>943700</v>
      </c>
      <c r="AC39" s="10">
        <v>21</v>
      </c>
      <c r="AD39">
        <f t="shared" si="1"/>
        <v>0.28999999999999915</v>
      </c>
      <c r="AE39" s="137">
        <f t="shared" si="2"/>
        <v>0</v>
      </c>
    </row>
    <row r="40" spans="1:31" ht="20.25" thickBot="1" x14ac:dyDescent="0.35">
      <c r="A40" t="s">
        <v>494</v>
      </c>
      <c r="B40" s="192">
        <v>42785</v>
      </c>
      <c r="C40" s="10">
        <v>600</v>
      </c>
      <c r="D40" s="199">
        <v>20.322749999999999</v>
      </c>
      <c r="E40" s="40">
        <v>19.22</v>
      </c>
      <c r="F40" s="40">
        <f t="shared" si="3"/>
        <v>-661.6500000000002</v>
      </c>
      <c r="G40" s="40">
        <f t="shared" si="4"/>
        <v>12193.65</v>
      </c>
      <c r="H40" s="230">
        <f t="shared" si="5"/>
        <v>-5.4261849405223231E-2</v>
      </c>
      <c r="I40" s="40"/>
      <c r="O40" s="703" t="s">
        <v>78</v>
      </c>
      <c r="P40" s="703"/>
      <c r="W40" s="132">
        <v>42741</v>
      </c>
      <c r="X40" s="10">
        <v>21.09</v>
      </c>
      <c r="Y40" s="10">
        <v>21.19</v>
      </c>
      <c r="Z40" s="10">
        <v>20.77</v>
      </c>
      <c r="AA40" s="10">
        <v>21</v>
      </c>
      <c r="AB40" s="94">
        <v>1387000</v>
      </c>
      <c r="AC40" s="10">
        <v>21</v>
      </c>
      <c r="AD40">
        <f t="shared" si="1"/>
        <v>0.42000000000000171</v>
      </c>
      <c r="AE40" s="137">
        <f t="shared" si="2"/>
        <v>-1.0833725859632604E-2</v>
      </c>
    </row>
    <row r="41" spans="1:31" ht="15.75" thickTop="1" x14ac:dyDescent="0.25">
      <c r="B41" s="192"/>
      <c r="C41" s="10"/>
      <c r="D41" s="199"/>
      <c r="E41" s="40"/>
      <c r="F41" s="40"/>
      <c r="G41" s="40"/>
      <c r="H41" s="230"/>
      <c r="I41" s="40"/>
      <c r="O41" s="82">
        <v>1.1000000000000001</v>
      </c>
      <c r="P41" s="82">
        <f>O41*$Q$4</f>
        <v>21.472000000000001</v>
      </c>
      <c r="Q41" s="2"/>
      <c r="W41" s="132">
        <v>42740</v>
      </c>
      <c r="X41" s="10">
        <v>20.69</v>
      </c>
      <c r="Y41" s="10">
        <v>21.24</v>
      </c>
      <c r="Z41" s="10">
        <v>20.62</v>
      </c>
      <c r="AA41" s="10">
        <v>21.23</v>
      </c>
      <c r="AB41" s="94">
        <v>1460900</v>
      </c>
      <c r="AC41" s="10">
        <v>21.23</v>
      </c>
      <c r="AD41">
        <f t="shared" si="1"/>
        <v>0.61999999999999744</v>
      </c>
      <c r="AE41" s="137">
        <f t="shared" si="2"/>
        <v>1.5789473684210575E-2</v>
      </c>
    </row>
    <row r="42" spans="1:31" ht="20.25" thickBot="1" x14ac:dyDescent="0.35">
      <c r="B42" s="192"/>
      <c r="C42" s="10"/>
      <c r="D42" s="199"/>
      <c r="E42" s="40"/>
      <c r="F42" s="40"/>
      <c r="G42" s="40"/>
      <c r="H42" s="230"/>
      <c r="I42" s="40"/>
      <c r="O42" s="82">
        <v>1.0900000000000001</v>
      </c>
      <c r="P42" s="82">
        <f t="shared" ref="P42:P61" si="6">O42*$Q$4</f>
        <v>21.276800000000001</v>
      </c>
      <c r="Q42" s="2"/>
      <c r="T42" s="90" t="s">
        <v>113</v>
      </c>
      <c r="W42" s="132">
        <v>42739</v>
      </c>
      <c r="X42" s="10">
        <v>21.11</v>
      </c>
      <c r="Y42" s="10">
        <v>21.4</v>
      </c>
      <c r="Z42" s="10">
        <v>20.81</v>
      </c>
      <c r="AA42" s="10">
        <v>20.9</v>
      </c>
      <c r="AB42" s="94">
        <v>2258900</v>
      </c>
      <c r="AC42" s="10">
        <v>20.9</v>
      </c>
      <c r="AD42">
        <f t="shared" si="1"/>
        <v>0.58999999999999986</v>
      </c>
      <c r="AE42" s="137">
        <f t="shared" si="2"/>
        <v>-2.8358902835890376E-2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6"/>
        <v>21.081600000000002</v>
      </c>
      <c r="Q43" s="2"/>
      <c r="T43" s="127" t="s">
        <v>98</v>
      </c>
      <c r="U43" s="128">
        <v>21.33</v>
      </c>
      <c r="W43" s="132">
        <v>42738</v>
      </c>
      <c r="X43" s="10">
        <v>21.19</v>
      </c>
      <c r="Y43" s="10">
        <v>21.6</v>
      </c>
      <c r="Z43" s="10">
        <v>21</v>
      </c>
      <c r="AA43" s="10">
        <v>21.51</v>
      </c>
      <c r="AB43" s="94">
        <v>1046700</v>
      </c>
      <c r="AC43" s="10">
        <v>21.51</v>
      </c>
      <c r="AD43">
        <f t="shared" si="1"/>
        <v>0.60000000000000142</v>
      </c>
      <c r="AE43" s="137">
        <f t="shared" si="2"/>
        <v>2.0398481973434635E-2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6"/>
        <v>20.886400000000002</v>
      </c>
      <c r="Q44" s="2"/>
      <c r="T44" s="92" t="s">
        <v>99</v>
      </c>
      <c r="U44" s="129" t="s">
        <v>129</v>
      </c>
      <c r="W44" s="132">
        <v>42734</v>
      </c>
      <c r="X44" s="10">
        <v>21.34</v>
      </c>
      <c r="Y44" s="10">
        <v>21.49</v>
      </c>
      <c r="Z44" s="10">
        <v>21.06</v>
      </c>
      <c r="AA44" s="10">
        <v>21.08</v>
      </c>
      <c r="AB44" s="94">
        <v>1662400</v>
      </c>
      <c r="AC44" s="10">
        <v>21.08</v>
      </c>
      <c r="AD44">
        <f t="shared" si="1"/>
        <v>0.42999999999999972</v>
      </c>
      <c r="AE44" s="137">
        <f t="shared" si="2"/>
        <v>-1.1720581340834535E-2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20.691200000000002</v>
      </c>
      <c r="Q45" s="2"/>
      <c r="T45" s="92" t="s">
        <v>100</v>
      </c>
      <c r="U45" s="129" t="s">
        <v>129</v>
      </c>
      <c r="W45" s="132">
        <v>42733</v>
      </c>
      <c r="X45" s="10">
        <v>21.11</v>
      </c>
      <c r="Y45" s="10">
        <v>21.45</v>
      </c>
      <c r="Z45" s="10">
        <v>21.05</v>
      </c>
      <c r="AA45" s="10">
        <v>21.33</v>
      </c>
      <c r="AB45" s="94">
        <v>1025000</v>
      </c>
      <c r="AC45" s="10">
        <v>21.33</v>
      </c>
      <c r="AD45">
        <f t="shared" si="1"/>
        <v>0.39999999999999858</v>
      </c>
      <c r="AE45" s="137">
        <f t="shared" si="2"/>
        <v>1.0421601136901826E-2</v>
      </c>
    </row>
    <row r="46" spans="1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20.495999999999999</v>
      </c>
      <c r="Q46" s="2"/>
      <c r="T46" s="92" t="s">
        <v>101</v>
      </c>
      <c r="U46" s="129" t="s">
        <v>129</v>
      </c>
      <c r="W46" s="132">
        <v>42732</v>
      </c>
      <c r="X46" s="10">
        <v>21.54</v>
      </c>
      <c r="Y46" s="10">
        <v>21.7</v>
      </c>
      <c r="Z46" s="10">
        <v>21.05</v>
      </c>
      <c r="AA46" s="10">
        <v>21.11</v>
      </c>
      <c r="AB46" s="94">
        <v>1604900</v>
      </c>
      <c r="AC46" s="10">
        <v>21.11</v>
      </c>
      <c r="AD46">
        <f t="shared" si="1"/>
        <v>0.64999999999999858</v>
      </c>
      <c r="AE46" s="137">
        <f t="shared" si="2"/>
        <v>-2.0871985157699391E-2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>O47*$Q$4</f>
        <v>20.300799999999999</v>
      </c>
      <c r="Q47" s="2"/>
      <c r="T47" s="92" t="s">
        <v>102</v>
      </c>
      <c r="U47" s="129">
        <v>26.25</v>
      </c>
      <c r="W47" s="132">
        <v>42731</v>
      </c>
      <c r="X47" s="10">
        <v>21.41</v>
      </c>
      <c r="Y47" s="10">
        <v>21.93</v>
      </c>
      <c r="Z47" s="10">
        <v>21.35</v>
      </c>
      <c r="AA47" s="10">
        <v>21.56</v>
      </c>
      <c r="AB47" s="94">
        <v>2313100</v>
      </c>
      <c r="AC47" s="10">
        <v>21.56</v>
      </c>
      <c r="AD47">
        <f t="shared" si="1"/>
        <v>0.57999999999999829</v>
      </c>
      <c r="AE47" s="137">
        <f t="shared" si="2"/>
        <v>-2.4875621890547261E-2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6"/>
        <v>20.105599999999999</v>
      </c>
      <c r="Q48" s="2"/>
      <c r="T48" s="92" t="s">
        <v>103</v>
      </c>
      <c r="U48" s="129">
        <v>-0.32694499999999999</v>
      </c>
      <c r="W48" s="132">
        <v>42727</v>
      </c>
      <c r="X48" s="10">
        <v>21.6</v>
      </c>
      <c r="Y48" s="10">
        <v>22.17</v>
      </c>
      <c r="Z48" s="10">
        <v>21.52</v>
      </c>
      <c r="AA48" s="10">
        <v>22.11</v>
      </c>
      <c r="AB48" s="94">
        <v>1162700</v>
      </c>
      <c r="AC48" s="10">
        <v>22.11</v>
      </c>
      <c r="AD48">
        <f t="shared" si="1"/>
        <v>0.65000000000000213</v>
      </c>
      <c r="AE48" s="137">
        <f t="shared" si="2"/>
        <v>2.3611111111111027E-2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6"/>
        <v>19.910399999999999</v>
      </c>
      <c r="Q49" s="2"/>
      <c r="T49" s="92" t="s">
        <v>104</v>
      </c>
      <c r="U49" s="129" t="s">
        <v>129</v>
      </c>
      <c r="W49" s="132">
        <v>42726</v>
      </c>
      <c r="X49" s="10">
        <v>21.97</v>
      </c>
      <c r="Y49" s="10">
        <v>21.98</v>
      </c>
      <c r="Z49" s="10">
        <v>21.3</v>
      </c>
      <c r="AA49" s="10">
        <v>21.6</v>
      </c>
      <c r="AB49" s="94">
        <v>1282700</v>
      </c>
      <c r="AC49" s="10">
        <v>21.6</v>
      </c>
      <c r="AD49">
        <f t="shared" si="1"/>
        <v>0.67999999999999972</v>
      </c>
      <c r="AE49" s="137">
        <f t="shared" si="2"/>
        <v>-1.8627896410722378E-2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6"/>
        <v>19.715199999999999</v>
      </c>
      <c r="Q50" s="2"/>
      <c r="T50" s="92"/>
      <c r="U50" s="129"/>
      <c r="W50" s="132">
        <v>42725</v>
      </c>
      <c r="X50" s="10">
        <v>22</v>
      </c>
      <c r="Y50" s="10">
        <v>22.21</v>
      </c>
      <c r="Z50" s="10">
        <v>21.98</v>
      </c>
      <c r="AA50" s="10">
        <v>22.01</v>
      </c>
      <c r="AB50" s="94">
        <v>863200</v>
      </c>
      <c r="AC50" s="10">
        <v>22.01</v>
      </c>
      <c r="AD50">
        <f t="shared" si="1"/>
        <v>0.23000000000000043</v>
      </c>
      <c r="AE50" s="137">
        <f t="shared" si="2"/>
        <v>1.8206645425582479E-3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6"/>
        <v>19.52</v>
      </c>
      <c r="Q51" s="2"/>
      <c r="T51" s="92" t="s">
        <v>105</v>
      </c>
      <c r="U51" s="129" t="s">
        <v>355</v>
      </c>
      <c r="W51" s="132">
        <v>42724</v>
      </c>
      <c r="X51" s="10">
        <v>21.93</v>
      </c>
      <c r="Y51" s="10">
        <v>22.14</v>
      </c>
      <c r="Z51" s="10">
        <v>21.81</v>
      </c>
      <c r="AA51" s="10">
        <v>21.97</v>
      </c>
      <c r="AB51" s="94">
        <v>1417300</v>
      </c>
      <c r="AC51" s="10">
        <v>21.97</v>
      </c>
      <c r="AD51">
        <f t="shared" si="1"/>
        <v>0.33000000000000185</v>
      </c>
      <c r="AE51" s="137">
        <f t="shared" si="2"/>
        <v>7.3360843649701302E-3</v>
      </c>
    </row>
    <row r="52" spans="1:31" x14ac:dyDescent="0.25">
      <c r="O52" s="82">
        <v>0.99</v>
      </c>
      <c r="P52" s="82">
        <f t="shared" si="6"/>
        <v>19.3248</v>
      </c>
      <c r="Q52" s="2"/>
      <c r="T52" s="92" t="s">
        <v>106</v>
      </c>
      <c r="U52" s="129" t="s">
        <v>327</v>
      </c>
      <c r="W52" s="132">
        <v>42723</v>
      </c>
      <c r="X52" s="10">
        <v>21.66</v>
      </c>
      <c r="Y52" s="10">
        <v>21.9</v>
      </c>
      <c r="Z52" s="10">
        <v>21.53</v>
      </c>
      <c r="AA52" s="10">
        <v>21.81</v>
      </c>
      <c r="AB52" s="94">
        <v>1543300</v>
      </c>
      <c r="AC52" s="10">
        <v>21.81</v>
      </c>
      <c r="AD52">
        <f t="shared" si="1"/>
        <v>0.36999999999999744</v>
      </c>
      <c r="AE52" s="137">
        <f t="shared" si="2"/>
        <v>1.0189902732746559E-2</v>
      </c>
    </row>
    <row r="53" spans="1:31" x14ac:dyDescent="0.25">
      <c r="L53" t="s">
        <v>65</v>
      </c>
      <c r="M53" s="2">
        <f>M71+K71-F71</f>
        <v>344.98000000000047</v>
      </c>
      <c r="O53" s="82">
        <v>0.98</v>
      </c>
      <c r="P53" s="82">
        <f t="shared" si="6"/>
        <v>19.1296</v>
      </c>
      <c r="Q53" s="2"/>
      <c r="T53" s="92" t="s">
        <v>107</v>
      </c>
      <c r="U53" s="130">
        <v>0</v>
      </c>
      <c r="W53" s="132">
        <v>42720</v>
      </c>
      <c r="X53" s="10">
        <v>21.2</v>
      </c>
      <c r="Y53" s="10">
        <v>21.63</v>
      </c>
      <c r="Z53" s="10">
        <v>21.17</v>
      </c>
      <c r="AA53" s="10">
        <v>21.59</v>
      </c>
      <c r="AB53" s="94">
        <v>2248200</v>
      </c>
      <c r="AC53" s="10">
        <v>21.59</v>
      </c>
      <c r="AD53">
        <f t="shared" si="1"/>
        <v>0.4599999999999973</v>
      </c>
      <c r="AE53" s="137">
        <f t="shared" si="2"/>
        <v>2.0803782505910196E-2</v>
      </c>
    </row>
    <row r="54" spans="1:31" x14ac:dyDescent="0.25">
      <c r="A54" s="539" t="s">
        <v>1</v>
      </c>
      <c r="B54" s="539" t="s">
        <v>2</v>
      </c>
      <c r="C54" s="539" t="s">
        <v>4</v>
      </c>
      <c r="D54" s="540" t="s">
        <v>5</v>
      </c>
      <c r="E54" s="540" t="s">
        <v>94</v>
      </c>
      <c r="F54" s="540" t="s">
        <v>60</v>
      </c>
      <c r="G54" s="539" t="s">
        <v>3</v>
      </c>
      <c r="H54" s="539" t="s">
        <v>6</v>
      </c>
      <c r="I54" s="540" t="s">
        <v>7</v>
      </c>
      <c r="J54" s="540" t="s">
        <v>95</v>
      </c>
      <c r="K54" s="540" t="s">
        <v>61</v>
      </c>
      <c r="L54" s="539" t="s">
        <v>37</v>
      </c>
      <c r="M54" s="539" t="s">
        <v>38</v>
      </c>
      <c r="O54" s="82">
        <v>0.97</v>
      </c>
      <c r="P54" s="82">
        <f t="shared" si="6"/>
        <v>18.9344</v>
      </c>
      <c r="T54" s="92" t="s">
        <v>110</v>
      </c>
      <c r="U54" s="130">
        <v>2249070</v>
      </c>
      <c r="W54" s="132">
        <v>42719</v>
      </c>
      <c r="X54" s="10">
        <v>21.16</v>
      </c>
      <c r="Y54" s="10">
        <v>21.5</v>
      </c>
      <c r="Z54" s="10">
        <v>21.07</v>
      </c>
      <c r="AA54" s="10">
        <v>21.15</v>
      </c>
      <c r="AB54" s="94">
        <v>1465300</v>
      </c>
      <c r="AC54" s="10">
        <v>21.15</v>
      </c>
      <c r="AD54">
        <f t="shared" si="1"/>
        <v>0.42999999999999972</v>
      </c>
      <c r="AE54" s="137">
        <f t="shared" si="2"/>
        <v>-2.3584905660377631E-3</v>
      </c>
    </row>
    <row r="55" spans="1:31" x14ac:dyDescent="0.25">
      <c r="A55" s="541" t="s">
        <v>295</v>
      </c>
      <c r="B55" s="523">
        <v>42639</v>
      </c>
      <c r="C55" s="524">
        <v>80</v>
      </c>
      <c r="D55" s="526">
        <v>26.38</v>
      </c>
      <c r="E55" s="526">
        <v>0</v>
      </c>
      <c r="F55" s="526">
        <f>C55*D55+E55</f>
        <v>2110.4</v>
      </c>
      <c r="G55" s="523">
        <v>42677</v>
      </c>
      <c r="H55" s="542">
        <v>100</v>
      </c>
      <c r="I55" s="526">
        <v>26.49</v>
      </c>
      <c r="J55" s="526">
        <v>0.56000000000000005</v>
      </c>
      <c r="K55" s="526">
        <f>I55*H55-J55</f>
        <v>2648.44</v>
      </c>
      <c r="L55" s="523"/>
      <c r="M55" s="526"/>
      <c r="O55" s="82">
        <v>0.96</v>
      </c>
      <c r="P55" s="82">
        <f t="shared" si="6"/>
        <v>18.7392</v>
      </c>
      <c r="T55" s="92" t="s">
        <v>108</v>
      </c>
      <c r="U55" s="129" t="s">
        <v>356</v>
      </c>
      <c r="W55" s="132">
        <v>42718</v>
      </c>
      <c r="X55" s="10">
        <v>21.3</v>
      </c>
      <c r="Y55" s="10">
        <v>21.8</v>
      </c>
      <c r="Z55" s="10">
        <v>21.17</v>
      </c>
      <c r="AA55" s="10">
        <v>21.2</v>
      </c>
      <c r="AB55" s="94">
        <v>1853500</v>
      </c>
      <c r="AC55" s="10">
        <v>21.2</v>
      </c>
      <c r="AD55">
        <f t="shared" si="1"/>
        <v>0.62999999999999901</v>
      </c>
      <c r="AE55" s="137">
        <f t="shared" si="2"/>
        <v>-2.822201317027373E-3</v>
      </c>
    </row>
    <row r="56" spans="1:31" x14ac:dyDescent="0.25">
      <c r="A56" s="543" t="s">
        <v>71</v>
      </c>
      <c r="B56" s="523">
        <v>42639</v>
      </c>
      <c r="C56" s="524">
        <v>20</v>
      </c>
      <c r="D56" s="526">
        <v>25.48</v>
      </c>
      <c r="E56" s="526">
        <v>0</v>
      </c>
      <c r="F56" s="526">
        <f>C56*D56+E56</f>
        <v>509.6</v>
      </c>
      <c r="G56" s="523">
        <v>42678</v>
      </c>
      <c r="H56" s="542">
        <v>20</v>
      </c>
      <c r="I56" s="526">
        <v>27.31</v>
      </c>
      <c r="J56" s="526">
        <v>0.01</v>
      </c>
      <c r="K56" s="526">
        <f>I56*H56-J56</f>
        <v>546.18999999999994</v>
      </c>
      <c r="L56" s="524"/>
      <c r="M56" s="524"/>
      <c r="O56" s="82">
        <v>0.95</v>
      </c>
      <c r="P56" s="82">
        <f t="shared" si="6"/>
        <v>18.544</v>
      </c>
      <c r="T56" s="92" t="s">
        <v>111</v>
      </c>
      <c r="U56" s="129">
        <v>8.8800000000000008</v>
      </c>
      <c r="W56" s="132">
        <v>42717</v>
      </c>
      <c r="X56" s="10">
        <v>21.35</v>
      </c>
      <c r="Y56" s="10">
        <v>21.49</v>
      </c>
      <c r="Z56" s="10">
        <v>21.07</v>
      </c>
      <c r="AA56" s="10">
        <v>21.26</v>
      </c>
      <c r="AB56" s="94">
        <v>1812200</v>
      </c>
      <c r="AC56" s="10">
        <v>21.26</v>
      </c>
      <c r="AD56">
        <f t="shared" si="1"/>
        <v>0.41999999999999815</v>
      </c>
      <c r="AE56" s="137">
        <f t="shared" si="2"/>
        <v>8.0606922712187501E-3</v>
      </c>
    </row>
    <row r="57" spans="1:31" x14ac:dyDescent="0.25">
      <c r="A57" s="524"/>
      <c r="B57" s="523">
        <v>42639</v>
      </c>
      <c r="C57" s="524">
        <v>20</v>
      </c>
      <c r="D57" s="526">
        <v>25.48</v>
      </c>
      <c r="E57" s="526">
        <v>0</v>
      </c>
      <c r="F57" s="526">
        <f>C57*D57+E57</f>
        <v>509.6</v>
      </c>
      <c r="G57" s="523">
        <v>42681</v>
      </c>
      <c r="H57" s="542">
        <v>80</v>
      </c>
      <c r="I57" s="526">
        <v>28.17</v>
      </c>
      <c r="J57" s="526">
        <v>0.05</v>
      </c>
      <c r="K57" s="526">
        <f>I57*H57-J57</f>
        <v>2253.5500000000002</v>
      </c>
      <c r="L57" s="524"/>
      <c r="M57" s="524"/>
      <c r="O57" s="82">
        <v>0.94</v>
      </c>
      <c r="P57" s="82">
        <f t="shared" si="6"/>
        <v>18.348799999999997</v>
      </c>
      <c r="T57" s="92" t="s">
        <v>112</v>
      </c>
      <c r="U57" s="129">
        <v>2.38</v>
      </c>
      <c r="W57" s="132">
        <v>42716</v>
      </c>
      <c r="X57" s="10">
        <v>20.93</v>
      </c>
      <c r="Y57" s="10">
        <v>21.61</v>
      </c>
      <c r="Z57" s="10">
        <v>20.92</v>
      </c>
      <c r="AA57" s="10">
        <v>21.09</v>
      </c>
      <c r="AB57" s="94">
        <v>1742300</v>
      </c>
      <c r="AC57" s="10">
        <v>21.09</v>
      </c>
      <c r="AD57">
        <f t="shared" si="1"/>
        <v>0.68999999999999773</v>
      </c>
      <c r="AE57" s="137">
        <f t="shared" si="2"/>
        <v>9.492168960607561E-4</v>
      </c>
    </row>
    <row r="58" spans="1:31" x14ac:dyDescent="0.25">
      <c r="A58" s="524"/>
      <c r="B58" s="523">
        <v>42649</v>
      </c>
      <c r="C58" s="524">
        <v>80</v>
      </c>
      <c r="D58" s="526">
        <v>24.67</v>
      </c>
      <c r="E58" s="526">
        <v>0</v>
      </c>
      <c r="F58" s="526">
        <f>C58*D58+E58</f>
        <v>1973.6000000000001</v>
      </c>
      <c r="G58" s="524"/>
      <c r="H58" s="542"/>
      <c r="I58" s="526"/>
      <c r="J58" s="526"/>
      <c r="K58" s="526"/>
      <c r="L58" s="524"/>
      <c r="M58" s="524"/>
      <c r="O58" s="82">
        <v>0.93</v>
      </c>
      <c r="P58" s="82">
        <f t="shared" si="6"/>
        <v>18.153600000000001</v>
      </c>
      <c r="T58" s="92" t="s">
        <v>109</v>
      </c>
      <c r="U58" s="129" t="s">
        <v>123</v>
      </c>
      <c r="W58" s="132">
        <v>42713</v>
      </c>
      <c r="X58" s="10">
        <v>21.49</v>
      </c>
      <c r="Y58" s="10">
        <v>21.65</v>
      </c>
      <c r="Z58" s="10">
        <v>20.84</v>
      </c>
      <c r="AA58" s="10">
        <v>21.07</v>
      </c>
      <c r="AB58" s="94">
        <v>1817100</v>
      </c>
      <c r="AC58" s="10">
        <v>21.07</v>
      </c>
      <c r="AD58">
        <f t="shared" si="1"/>
        <v>0.80999999999999872</v>
      </c>
      <c r="AE58" s="137">
        <f t="shared" si="2"/>
        <v>-7.5365049458313571E-3</v>
      </c>
    </row>
    <row r="59" spans="1:31" x14ac:dyDescent="0.25">
      <c r="A59" s="524"/>
      <c r="B59" s="523"/>
      <c r="C59" s="524"/>
      <c r="D59" s="526"/>
      <c r="E59" s="526"/>
      <c r="F59" s="526"/>
      <c r="G59" s="524"/>
      <c r="H59" s="542"/>
      <c r="I59" s="526"/>
      <c r="J59" s="526"/>
      <c r="K59" s="526"/>
      <c r="L59" s="524"/>
      <c r="M59" s="524"/>
      <c r="O59" s="82">
        <v>0.92</v>
      </c>
      <c r="P59" s="82">
        <f t="shared" si="6"/>
        <v>17.958400000000001</v>
      </c>
      <c r="W59" s="132">
        <v>42712</v>
      </c>
      <c r="X59" s="10">
        <v>20.59</v>
      </c>
      <c r="Y59" s="10">
        <v>21.53</v>
      </c>
      <c r="Z59" s="10">
        <v>20.41</v>
      </c>
      <c r="AA59" s="10">
        <v>21.23</v>
      </c>
      <c r="AB59" s="94">
        <v>2910300</v>
      </c>
      <c r="AC59" s="10">
        <v>21.23</v>
      </c>
      <c r="AD59">
        <f t="shared" si="1"/>
        <v>1.120000000000001</v>
      </c>
      <c r="AE59" s="137">
        <f t="shared" si="2"/>
        <v>3.3090024330900247E-2</v>
      </c>
    </row>
    <row r="60" spans="1:31" x14ac:dyDescent="0.25">
      <c r="A60" s="524"/>
      <c r="B60" s="524"/>
      <c r="C60" s="524"/>
      <c r="D60" s="526"/>
      <c r="E60" s="526"/>
      <c r="F60" s="526"/>
      <c r="G60" s="524"/>
      <c r="H60" s="542"/>
      <c r="I60" s="526"/>
      <c r="J60" s="526"/>
      <c r="K60" s="526"/>
      <c r="L60" s="524"/>
      <c r="M60" s="524"/>
      <c r="O60" s="82">
        <v>0.91</v>
      </c>
      <c r="P60" s="82">
        <f t="shared" si="6"/>
        <v>17.763200000000001</v>
      </c>
      <c r="W60" s="132">
        <v>42711</v>
      </c>
      <c r="X60" s="10">
        <v>20.77</v>
      </c>
      <c r="Y60" s="10">
        <v>20.88</v>
      </c>
      <c r="Z60" s="10">
        <v>20.46</v>
      </c>
      <c r="AA60" s="10">
        <v>20.55</v>
      </c>
      <c r="AB60" s="94">
        <v>2537800</v>
      </c>
      <c r="AC60" s="10">
        <v>20.55</v>
      </c>
      <c r="AD60">
        <f t="shared" si="1"/>
        <v>0.41999999999999815</v>
      </c>
      <c r="AE60" s="137">
        <f t="shared" si="2"/>
        <v>-1.627573001436089E-2</v>
      </c>
    </row>
    <row r="61" spans="1:31" x14ac:dyDescent="0.25">
      <c r="A61" s="524"/>
      <c r="B61" s="524"/>
      <c r="C61" s="524"/>
      <c r="D61" s="526"/>
      <c r="E61" s="526"/>
      <c r="F61" s="526"/>
      <c r="G61" s="524"/>
      <c r="H61" s="542"/>
      <c r="I61" s="526"/>
      <c r="J61" s="526"/>
      <c r="K61" s="526"/>
      <c r="L61" s="524"/>
      <c r="M61" s="524"/>
      <c r="O61" s="82">
        <v>0.9</v>
      </c>
      <c r="P61" s="82">
        <f t="shared" si="6"/>
        <v>17.568000000000001</v>
      </c>
      <c r="W61" s="132">
        <v>42710</v>
      </c>
      <c r="X61" s="10">
        <v>21.06</v>
      </c>
      <c r="Y61" s="10">
        <v>21.13</v>
      </c>
      <c r="Z61" s="10">
        <v>20.72</v>
      </c>
      <c r="AA61" s="10">
        <v>20.89</v>
      </c>
      <c r="AB61" s="94">
        <v>3344900</v>
      </c>
      <c r="AC61" s="10">
        <v>20.89</v>
      </c>
      <c r="AD61">
        <f t="shared" si="1"/>
        <v>0.41000000000000014</v>
      </c>
      <c r="AE61" s="137">
        <f t="shared" si="2"/>
        <v>-1.9111323459148899E-3</v>
      </c>
    </row>
    <row r="62" spans="1:31" x14ac:dyDescent="0.25">
      <c r="A62" s="524"/>
      <c r="B62" s="524"/>
      <c r="C62" s="524"/>
      <c r="D62" s="526"/>
      <c r="E62" s="526"/>
      <c r="F62" s="526"/>
      <c r="G62" s="524"/>
      <c r="H62" s="542"/>
      <c r="I62" s="526"/>
      <c r="J62" s="526"/>
      <c r="K62" s="526"/>
      <c r="L62" s="524"/>
      <c r="M62" s="524"/>
      <c r="W62" s="132">
        <v>42709</v>
      </c>
      <c r="X62" s="10">
        <v>21.45</v>
      </c>
      <c r="Y62" s="10">
        <v>21.6</v>
      </c>
      <c r="Z62" s="10">
        <v>20.5</v>
      </c>
      <c r="AA62" s="10">
        <v>20.93</v>
      </c>
      <c r="AB62" s="94">
        <v>4384600</v>
      </c>
      <c r="AC62" s="10">
        <v>20.93</v>
      </c>
      <c r="AD62">
        <f t="shared" si="1"/>
        <v>1.1000000000000014</v>
      </c>
      <c r="AE62" s="137">
        <f t="shared" si="2"/>
        <v>-8.0568720379147196E-3</v>
      </c>
    </row>
    <row r="63" spans="1:31" x14ac:dyDescent="0.25">
      <c r="A63" s="524"/>
      <c r="B63" s="524"/>
      <c r="C63" s="524"/>
      <c r="D63" s="526"/>
      <c r="E63" s="526"/>
      <c r="F63" s="526"/>
      <c r="G63" s="524"/>
      <c r="H63" s="542"/>
      <c r="I63" s="526"/>
      <c r="J63" s="526"/>
      <c r="K63" s="526"/>
      <c r="L63" s="524"/>
      <c r="M63" s="524"/>
      <c r="W63" s="132">
        <v>42706</v>
      </c>
      <c r="X63" s="10">
        <v>22.22</v>
      </c>
      <c r="Y63" s="10">
        <v>22.4</v>
      </c>
      <c r="Z63" s="10">
        <v>21.02</v>
      </c>
      <c r="AA63" s="10">
        <v>21.1</v>
      </c>
      <c r="AB63" s="94">
        <v>8927400</v>
      </c>
      <c r="AC63" s="10">
        <v>21.1</v>
      </c>
      <c r="AD63">
        <f t="shared" si="1"/>
        <v>1.379999999999999</v>
      </c>
      <c r="AE63" s="137">
        <f t="shared" si="2"/>
        <v>-0.12010008340283562</v>
      </c>
    </row>
    <row r="64" spans="1:31" x14ac:dyDescent="0.25">
      <c r="A64" s="524"/>
      <c r="B64" s="524"/>
      <c r="C64" s="524"/>
      <c r="D64" s="526"/>
      <c r="E64" s="526"/>
      <c r="F64" s="526"/>
      <c r="G64" s="524"/>
      <c r="H64" s="542"/>
      <c r="I64" s="526"/>
      <c r="J64" s="526"/>
      <c r="K64" s="526"/>
      <c r="L64" s="524"/>
      <c r="M64" s="524"/>
      <c r="W64" s="132">
        <v>42705</v>
      </c>
      <c r="X64" s="10">
        <v>23.39</v>
      </c>
      <c r="Y64" s="10">
        <v>24.17</v>
      </c>
      <c r="Z64" s="10">
        <v>23.08</v>
      </c>
      <c r="AA64" s="10">
        <v>23.98</v>
      </c>
      <c r="AB64" s="94">
        <v>3370200</v>
      </c>
      <c r="AC64" s="10">
        <v>23.98</v>
      </c>
      <c r="AD64">
        <f t="shared" si="1"/>
        <v>1.0900000000000034</v>
      </c>
      <c r="AE64" s="137">
        <f t="shared" si="2"/>
        <v>2.7861123017574041E-2</v>
      </c>
    </row>
    <row r="65" spans="1:31" x14ac:dyDescent="0.25">
      <c r="A65" s="524"/>
      <c r="B65" s="524"/>
      <c r="C65" s="524"/>
      <c r="D65" s="526"/>
      <c r="E65" s="526"/>
      <c r="F65" s="526"/>
      <c r="G65" s="524"/>
      <c r="H65" s="542"/>
      <c r="I65" s="526"/>
      <c r="J65" s="526"/>
      <c r="K65" s="526"/>
      <c r="L65" s="524"/>
      <c r="M65" s="524"/>
      <c r="W65" s="132">
        <v>42704</v>
      </c>
      <c r="X65" s="10">
        <v>24.04</v>
      </c>
      <c r="Y65" s="10">
        <v>24.11</v>
      </c>
      <c r="Z65" s="10">
        <v>23.06</v>
      </c>
      <c r="AA65" s="10">
        <v>23.33</v>
      </c>
      <c r="AB65" s="94">
        <v>2350600</v>
      </c>
      <c r="AC65" s="10">
        <v>23.33</v>
      </c>
      <c r="AD65">
        <f t="shared" si="1"/>
        <v>1.0500000000000007</v>
      </c>
      <c r="AE65" s="137">
        <f t="shared" si="2"/>
        <v>-2.7916666666666701E-2</v>
      </c>
    </row>
    <row r="66" spans="1:31" x14ac:dyDescent="0.25">
      <c r="A66" s="524"/>
      <c r="B66" s="524"/>
      <c r="C66" s="524"/>
      <c r="D66" s="526"/>
      <c r="E66" s="526"/>
      <c r="F66" s="526"/>
      <c r="G66" s="524"/>
      <c r="H66" s="542"/>
      <c r="I66" s="526"/>
      <c r="J66" s="526"/>
      <c r="K66" s="526"/>
      <c r="L66" s="524"/>
      <c r="M66" s="524"/>
      <c r="W66" s="132">
        <v>42703</v>
      </c>
      <c r="X66" s="10">
        <v>23.95</v>
      </c>
      <c r="Y66" s="10">
        <v>24.6</v>
      </c>
      <c r="Z66" s="10">
        <v>23.93</v>
      </c>
      <c r="AA66" s="10">
        <v>24</v>
      </c>
      <c r="AB66" s="94">
        <v>1930500</v>
      </c>
      <c r="AC66" s="10">
        <v>24</v>
      </c>
      <c r="AD66">
        <f t="shared" si="1"/>
        <v>0.67000000000000171</v>
      </c>
      <c r="AE66" s="137">
        <f t="shared" si="2"/>
        <v>5.0251256281408363E-3</v>
      </c>
    </row>
    <row r="67" spans="1:31" x14ac:dyDescent="0.25">
      <c r="A67" s="524"/>
      <c r="B67" s="524"/>
      <c r="C67" s="524"/>
      <c r="D67" s="526"/>
      <c r="E67" s="526"/>
      <c r="F67" s="526"/>
      <c r="G67" s="524"/>
      <c r="H67" s="542"/>
      <c r="I67" s="526"/>
      <c r="J67" s="526"/>
      <c r="K67" s="526"/>
      <c r="L67" s="524"/>
      <c r="M67" s="524"/>
      <c r="W67" s="132">
        <v>42702</v>
      </c>
      <c r="X67" s="10">
        <v>23.59</v>
      </c>
      <c r="Y67" s="10">
        <v>24.05</v>
      </c>
      <c r="Z67" s="10">
        <v>22.88</v>
      </c>
      <c r="AA67" s="10">
        <v>23.88</v>
      </c>
      <c r="AB67" s="94">
        <v>2130500</v>
      </c>
      <c r="AC67" s="10">
        <v>23.88</v>
      </c>
      <c r="AD67">
        <f>Y67-Z67</f>
        <v>1.1700000000000017</v>
      </c>
      <c r="AE67" s="137" t="e">
        <f>AC67/AC68-1</f>
        <v>#DIV/0!</v>
      </c>
    </row>
    <row r="68" spans="1:31" x14ac:dyDescent="0.25">
      <c r="A68" s="524"/>
      <c r="B68" s="524"/>
      <c r="C68" s="524"/>
      <c r="D68" s="526"/>
      <c r="E68" s="526"/>
      <c r="F68" s="526"/>
      <c r="G68" s="524"/>
      <c r="H68" s="542"/>
      <c r="I68" s="526"/>
      <c r="J68" s="526"/>
      <c r="K68" s="526"/>
      <c r="L68" s="524"/>
      <c r="M68" s="524"/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7" t="e">
        <f>AC68/AC69-1</f>
        <v>#DIV/0!</v>
      </c>
    </row>
    <row r="69" spans="1:31" x14ac:dyDescent="0.25">
      <c r="A69" s="524"/>
      <c r="B69" s="524"/>
      <c r="C69" s="524"/>
      <c r="D69" s="526"/>
      <c r="E69" s="526"/>
      <c r="F69" s="526"/>
      <c r="G69" s="524"/>
      <c r="H69" s="542"/>
      <c r="I69" s="526"/>
      <c r="J69" s="526"/>
      <c r="K69" s="526"/>
      <c r="L69" s="524"/>
      <c r="M69" s="524"/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524"/>
      <c r="B70" s="524"/>
      <c r="C70" s="524"/>
      <c r="D70" s="526"/>
      <c r="E70" s="526"/>
      <c r="F70" s="526"/>
      <c r="G70" s="524"/>
      <c r="H70" s="524"/>
      <c r="I70" s="526"/>
      <c r="J70" s="526"/>
      <c r="K70" s="526"/>
      <c r="L70" s="524"/>
      <c r="M70" s="524"/>
    </row>
    <row r="71" spans="1:31" x14ac:dyDescent="0.25">
      <c r="A71" s="544" t="s">
        <v>81</v>
      </c>
      <c r="B71" s="545"/>
      <c r="C71" s="545">
        <f>SUM(C55:C59)</f>
        <v>200</v>
      </c>
      <c r="D71" s="546"/>
      <c r="E71" s="546"/>
      <c r="F71" s="546">
        <f>SUM(F55:F59)</f>
        <v>5103.2</v>
      </c>
      <c r="G71" s="545"/>
      <c r="H71" s="545">
        <f>SUM(H55:H58)</f>
        <v>200</v>
      </c>
      <c r="I71" s="546"/>
      <c r="J71" s="546"/>
      <c r="K71" s="546">
        <f>SUM(K55:K58)</f>
        <v>5448.18</v>
      </c>
      <c r="L71" s="545"/>
      <c r="M71" s="546">
        <f>SUM(M55:M63)</f>
        <v>0</v>
      </c>
    </row>
    <row r="72" spans="1:31" ht="15.75" thickBot="1" x14ac:dyDescent="0.3">
      <c r="A72" s="547" t="s">
        <v>197</v>
      </c>
      <c r="B72" s="548"/>
      <c r="C72" s="549">
        <f>SumByColor($A$19,C55:C70)</f>
        <v>0</v>
      </c>
      <c r="D72" s="549"/>
      <c r="E72" s="549"/>
      <c r="F72" s="550">
        <f>SumByColor($A$19,F55:F70)</f>
        <v>0</v>
      </c>
      <c r="G72" s="549"/>
      <c r="H72" s="549">
        <f>SumByColor($A$19,H55:H70)</f>
        <v>0</v>
      </c>
      <c r="I72" s="549"/>
      <c r="J72" s="549"/>
      <c r="K72" s="550">
        <f>SumByColor($A$19,K55:K70)</f>
        <v>0</v>
      </c>
      <c r="L72" s="549"/>
      <c r="M72" s="550">
        <f>SumByColor($A$19,M55:M70)</f>
        <v>0</v>
      </c>
    </row>
    <row r="82" spans="2:9" x14ac:dyDescent="0.25">
      <c r="B82" s="190" t="s">
        <v>114</v>
      </c>
      <c r="C82" s="190" t="s">
        <v>147</v>
      </c>
      <c r="D82" s="191" t="s">
        <v>146</v>
      </c>
      <c r="E82" s="193" t="s">
        <v>148</v>
      </c>
      <c r="F82" s="193" t="s">
        <v>65</v>
      </c>
      <c r="G82" s="228" t="s">
        <v>152</v>
      </c>
      <c r="H82" s="228" t="s">
        <v>88</v>
      </c>
      <c r="I82" s="228" t="s">
        <v>155</v>
      </c>
    </row>
    <row r="83" spans="2:9" x14ac:dyDescent="0.25">
      <c r="B83" s="377">
        <v>42639</v>
      </c>
      <c r="C83" s="378">
        <v>80</v>
      </c>
      <c r="D83" s="379">
        <v>26.38</v>
      </c>
      <c r="E83" s="379">
        <v>25.53</v>
      </c>
      <c r="F83" s="379">
        <f t="shared" ref="F83:F92" si="7">C83*(E83-D83)</f>
        <v>-67.999999999999829</v>
      </c>
      <c r="G83" s="379">
        <f t="shared" ref="G83:G92" si="8">D83*C83</f>
        <v>2110.4</v>
      </c>
      <c r="H83" s="380">
        <f t="shared" ref="H83:H92" si="9">(E83-D83)/D83</f>
        <v>-3.2221379833206894E-2</v>
      </c>
      <c r="I83" s="379"/>
    </row>
    <row r="84" spans="2:9" x14ac:dyDescent="0.25">
      <c r="B84" s="377">
        <v>42639</v>
      </c>
      <c r="C84" s="378">
        <v>120</v>
      </c>
      <c r="D84" s="379">
        <v>26.08</v>
      </c>
      <c r="E84" s="379">
        <v>25.53</v>
      </c>
      <c r="F84" s="379">
        <f t="shared" si="7"/>
        <v>-65.999999999999659</v>
      </c>
      <c r="G84" s="379">
        <f t="shared" si="8"/>
        <v>3129.6</v>
      </c>
      <c r="H84" s="380">
        <f t="shared" si="9"/>
        <v>-2.1088957055214616E-2</v>
      </c>
      <c r="I84" s="379"/>
    </row>
    <row r="85" spans="2:9" x14ac:dyDescent="0.25">
      <c r="B85" s="377">
        <v>42641</v>
      </c>
      <c r="C85" s="378">
        <v>120</v>
      </c>
      <c r="D85" s="379">
        <v>26.08</v>
      </c>
      <c r="E85" s="379">
        <v>26</v>
      </c>
      <c r="F85" s="379">
        <f t="shared" si="7"/>
        <v>-9.5999999999997954</v>
      </c>
      <c r="G85" s="379">
        <f t="shared" si="8"/>
        <v>3129.6</v>
      </c>
      <c r="H85" s="380">
        <f t="shared" si="9"/>
        <v>-3.0674846625766221E-3</v>
      </c>
      <c r="I85" s="379"/>
    </row>
    <row r="86" spans="2:9" x14ac:dyDescent="0.25">
      <c r="B86" s="377">
        <v>42643</v>
      </c>
      <c r="C86" s="378">
        <v>120</v>
      </c>
      <c r="D86" s="379">
        <v>26.08</v>
      </c>
      <c r="E86" s="379">
        <v>26.59</v>
      </c>
      <c r="F86" s="379">
        <f t="shared" si="7"/>
        <v>61.200000000000188</v>
      </c>
      <c r="G86" s="379">
        <f t="shared" si="8"/>
        <v>3129.6</v>
      </c>
      <c r="H86" s="380">
        <f t="shared" si="9"/>
        <v>1.9555214723926441E-2</v>
      </c>
      <c r="I86" s="379"/>
    </row>
    <row r="87" spans="2:9" x14ac:dyDescent="0.25">
      <c r="B87" s="377">
        <v>42649</v>
      </c>
      <c r="C87" s="378">
        <v>200</v>
      </c>
      <c r="D87" s="379">
        <v>25.515999999999998</v>
      </c>
      <c r="E87" s="379">
        <v>25.21</v>
      </c>
      <c r="F87" s="379">
        <f t="shared" si="7"/>
        <v>-61.199999999999477</v>
      </c>
      <c r="G87" s="379">
        <f t="shared" si="8"/>
        <v>5103.2</v>
      </c>
      <c r="H87" s="380">
        <f t="shared" si="9"/>
        <v>-1.1992475309609556E-2</v>
      </c>
      <c r="I87" s="379"/>
    </row>
    <row r="88" spans="2:9" x14ac:dyDescent="0.25">
      <c r="B88" s="377">
        <v>42650</v>
      </c>
      <c r="C88" s="378">
        <v>200</v>
      </c>
      <c r="D88" s="379">
        <v>25.515999999999998</v>
      </c>
      <c r="E88" s="379">
        <v>25.33</v>
      </c>
      <c r="F88" s="379">
        <f t="shared" si="7"/>
        <v>-37.199999999999989</v>
      </c>
      <c r="G88" s="379">
        <f t="shared" si="8"/>
        <v>5103.2</v>
      </c>
      <c r="H88" s="380">
        <f t="shared" si="9"/>
        <v>-7.2895438156450835E-3</v>
      </c>
      <c r="I88" s="379"/>
    </row>
    <row r="89" spans="2:9" x14ac:dyDescent="0.25">
      <c r="B89" s="377">
        <v>42661</v>
      </c>
      <c r="C89" s="378">
        <v>200</v>
      </c>
      <c r="D89" s="379">
        <v>25.515999999999998</v>
      </c>
      <c r="E89" s="379">
        <v>26.25</v>
      </c>
      <c r="F89" s="379">
        <f t="shared" si="7"/>
        <v>146.80000000000035</v>
      </c>
      <c r="G89" s="379">
        <f t="shared" si="8"/>
        <v>5103.2</v>
      </c>
      <c r="H89" s="380">
        <f t="shared" si="9"/>
        <v>2.876626430475003E-2</v>
      </c>
      <c r="I89" s="379"/>
    </row>
    <row r="90" spans="2:9" x14ac:dyDescent="0.25">
      <c r="B90" s="377">
        <v>42674</v>
      </c>
      <c r="C90" s="378">
        <v>200</v>
      </c>
      <c r="D90" s="379">
        <v>25.515999999999998</v>
      </c>
      <c r="E90" s="379">
        <v>26.42</v>
      </c>
      <c r="F90" s="379">
        <f t="shared" si="7"/>
        <v>180.80000000000069</v>
      </c>
      <c r="G90" s="379">
        <f t="shared" si="8"/>
        <v>5103.2</v>
      </c>
      <c r="H90" s="380">
        <f t="shared" si="9"/>
        <v>3.5428750587866577E-2</v>
      </c>
      <c r="I90" s="379"/>
    </row>
    <row r="91" spans="2:9" x14ac:dyDescent="0.25">
      <c r="B91" s="377">
        <v>42677</v>
      </c>
      <c r="C91" s="378">
        <v>100</v>
      </c>
      <c r="D91" s="379">
        <v>24.547599999999999</v>
      </c>
      <c r="E91" s="379">
        <v>26.69</v>
      </c>
      <c r="F91" s="379">
        <f t="shared" si="7"/>
        <v>214.24000000000021</v>
      </c>
      <c r="G91" s="379">
        <f t="shared" si="8"/>
        <v>2454.7599999999998</v>
      </c>
      <c r="H91" s="380">
        <f t="shared" si="9"/>
        <v>8.7275334452247971E-2</v>
      </c>
      <c r="I91" s="466"/>
    </row>
    <row r="92" spans="2:9" x14ac:dyDescent="0.25">
      <c r="B92" s="377">
        <v>42678</v>
      </c>
      <c r="C92" s="378">
        <v>80</v>
      </c>
      <c r="D92" s="379">
        <v>23.857099999999999</v>
      </c>
      <c r="E92" s="379">
        <v>27.24</v>
      </c>
      <c r="F92" s="379">
        <f t="shared" si="7"/>
        <v>270.63199999999995</v>
      </c>
      <c r="G92" s="379">
        <f t="shared" si="8"/>
        <v>1908.568</v>
      </c>
      <c r="H92" s="380">
        <f t="shared" si="9"/>
        <v>0.1417984583205838</v>
      </c>
      <c r="I92" s="379"/>
    </row>
    <row r="93" spans="2:9" x14ac:dyDescent="0.25">
      <c r="B93" s="377">
        <v>42681</v>
      </c>
      <c r="C93" s="378">
        <v>0</v>
      </c>
      <c r="D93" s="379"/>
      <c r="E93" s="379"/>
      <c r="F93" s="379">
        <v>344.98</v>
      </c>
      <c r="G93" s="379"/>
      <c r="H93" s="380"/>
      <c r="I93" s="379"/>
    </row>
    <row r="94" spans="2:9" x14ac:dyDescent="0.25">
      <c r="B94" s="377"/>
      <c r="C94" s="378"/>
      <c r="D94" s="379"/>
      <c r="E94" s="379"/>
      <c r="F94" s="379"/>
      <c r="G94" s="379"/>
      <c r="H94" s="380"/>
      <c r="I94" s="37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1031" priority="23">
      <formula>F31&gt;0</formula>
    </cfRule>
    <cfRule type="expression" dxfId="1030" priority="24">
      <formula>F31&lt;0</formula>
    </cfRule>
  </conditionalFormatting>
  <conditionalFormatting sqref="Q7">
    <cfRule type="expression" dxfId="1029" priority="21">
      <formula>Q7&gt;0</formula>
    </cfRule>
    <cfRule type="expression" dxfId="1028" priority="22">
      <formula>Q7&lt;0</formula>
    </cfRule>
  </conditionalFormatting>
  <conditionalFormatting sqref="Q8">
    <cfRule type="expression" dxfId="1027" priority="19">
      <formula>Q8&gt;0</formula>
    </cfRule>
    <cfRule type="expression" dxfId="1026" priority="20">
      <formula>Q8&lt;0</formula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M53">
    <cfRule type="expression" dxfId="1025" priority="11">
      <formula>M53&gt;0</formula>
    </cfRule>
    <cfRule type="expression" dxfId="1024" priority="12">
      <formula>M53&lt;0</formula>
    </cfRule>
  </conditionalFormatting>
  <conditionalFormatting sqref="Q10">
    <cfRule type="expression" dxfId="1023" priority="9">
      <formula>Q10&gt;0</formula>
    </cfRule>
    <cfRule type="expression" dxfId="1022" priority="10">
      <formula>Q10&lt;0</formula>
    </cfRule>
  </conditionalFormatting>
  <conditionalFormatting sqref="F25:F30">
    <cfRule type="expression" dxfId="1021" priority="7">
      <formula>F25&gt;0</formula>
    </cfRule>
    <cfRule type="expression" dxfId="1020" priority="8">
      <formula>F25&lt;0</formula>
    </cfRule>
  </conditionalFormatting>
  <conditionalFormatting sqref="H25:H30">
    <cfRule type="expression" dxfId="1019" priority="5">
      <formula>H25&gt;0</formula>
    </cfRule>
    <cfRule type="expression" dxfId="1018" priority="6">
      <formula>H25&lt;0</formula>
    </cfRule>
  </conditionalFormatting>
  <conditionalFormatting sqref="F83:F94">
    <cfRule type="expression" dxfId="1017" priority="3">
      <formula>F83&gt;0</formula>
    </cfRule>
    <cfRule type="expression" dxfId="1016" priority="4">
      <formula>F83&lt;0</formula>
    </cfRule>
  </conditionalFormatting>
  <conditionalFormatting sqref="H83:H94">
    <cfRule type="expression" dxfId="1015" priority="1">
      <formula>H83&gt;0</formula>
    </cfRule>
    <cfRule type="expression" dxfId="1014" priority="2">
      <formula>H83&lt;0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42797</v>
      </c>
      <c r="X2" s="10">
        <v>57.7</v>
      </c>
      <c r="Y2" s="10">
        <v>59</v>
      </c>
      <c r="Z2" s="10">
        <v>57.6</v>
      </c>
      <c r="AA2" s="10">
        <v>58.86</v>
      </c>
      <c r="AB2" s="94">
        <v>5136900</v>
      </c>
      <c r="AC2" s="10">
        <v>58.86</v>
      </c>
      <c r="AD2">
        <f>Y2-Z2</f>
        <v>1.3999999999999986</v>
      </c>
      <c r="AE2" s="137">
        <f>AC2/AC3-1</f>
        <v>2.2407503908285609E-2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55.88</v>
      </c>
      <c r="T3" s="1"/>
      <c r="W3" s="132">
        <v>42796</v>
      </c>
      <c r="X3" s="10">
        <v>58.46</v>
      </c>
      <c r="Y3" s="10">
        <v>58.73</v>
      </c>
      <c r="Z3" s="10">
        <v>57.53</v>
      </c>
      <c r="AA3" s="10">
        <v>57.57</v>
      </c>
      <c r="AB3" s="94">
        <v>4655700</v>
      </c>
      <c r="AC3" s="10">
        <v>57.57</v>
      </c>
      <c r="AD3">
        <f>Y3-Z3</f>
        <v>1.1999999999999957</v>
      </c>
      <c r="AE3" s="137">
        <f>AC3/AC4-1</f>
        <v>-2.2248641304347894E-2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55.88</v>
      </c>
      <c r="R4" s="499">
        <v>-8.5000000000000006E-3</v>
      </c>
      <c r="T4" s="162"/>
      <c r="U4" s="1"/>
      <c r="W4" s="132">
        <v>42795</v>
      </c>
      <c r="X4" s="10">
        <v>58.47</v>
      </c>
      <c r="Y4" s="10">
        <v>59.68</v>
      </c>
      <c r="Z4" s="10">
        <v>58.43</v>
      </c>
      <c r="AA4" s="10">
        <v>58.88</v>
      </c>
      <c r="AB4" s="94">
        <v>5379200</v>
      </c>
      <c r="AC4" s="10">
        <v>58.88</v>
      </c>
      <c r="AD4">
        <f>Y4-Z4</f>
        <v>1.25</v>
      </c>
      <c r="AE4" s="137">
        <f>AC4/AC5-1</f>
        <v>1.86851211072665E-2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58.4</v>
      </c>
      <c r="Y5" s="10">
        <v>58.57</v>
      </c>
      <c r="Z5" s="10">
        <v>57.7</v>
      </c>
      <c r="AA5" s="10">
        <v>57.8</v>
      </c>
      <c r="AB5" s="94">
        <v>5732400</v>
      </c>
      <c r="AC5" s="10">
        <v>57.8</v>
      </c>
      <c r="AD5">
        <f t="shared" ref="AD5:AD67" si="0">Y5-Z5</f>
        <v>0.86999999999999744</v>
      </c>
      <c r="AE5" s="137">
        <f t="shared" ref="AE5:AE66" si="1">AC5/AC6-1</f>
        <v>-1.0782132466198968E-2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58.34</v>
      </c>
      <c r="Y6" s="10">
        <v>58.48</v>
      </c>
      <c r="Z6" s="10">
        <v>57.57</v>
      </c>
      <c r="AA6" s="10">
        <v>58.43</v>
      </c>
      <c r="AB6" s="94">
        <v>6309000</v>
      </c>
      <c r="AC6" s="10">
        <v>58.43</v>
      </c>
      <c r="AD6">
        <f t="shared" si="0"/>
        <v>0.90999999999999659</v>
      </c>
      <c r="AE6" s="137">
        <f t="shared" si="1"/>
        <v>-1.8790570550051289E-3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42790</v>
      </c>
      <c r="X7" s="10">
        <v>56.92</v>
      </c>
      <c r="Y7" s="10">
        <v>58.56</v>
      </c>
      <c r="Z7" s="10">
        <v>56.37</v>
      </c>
      <c r="AA7" s="10">
        <v>58.54</v>
      </c>
      <c r="AB7" s="94">
        <v>5346100</v>
      </c>
      <c r="AC7" s="10">
        <v>58.54</v>
      </c>
      <c r="AD7">
        <f t="shared" si="0"/>
        <v>2.1900000000000048</v>
      </c>
      <c r="AE7" s="137">
        <f t="shared" si="1"/>
        <v>2.23541739434161E-2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58.08</v>
      </c>
      <c r="Y8" s="10">
        <v>58.55</v>
      </c>
      <c r="Z8" s="10">
        <v>57.12</v>
      </c>
      <c r="AA8" s="10">
        <v>57.26</v>
      </c>
      <c r="AB8" s="94">
        <v>4661900</v>
      </c>
      <c r="AC8" s="10">
        <v>57.26</v>
      </c>
      <c r="AD8">
        <f t="shared" si="0"/>
        <v>1.4299999999999997</v>
      </c>
      <c r="AE8" s="137">
        <f t="shared" si="1"/>
        <v>-1.1224313590053492E-2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57.79</v>
      </c>
      <c r="Y9" s="10">
        <v>58</v>
      </c>
      <c r="Z9" s="10">
        <v>57.14</v>
      </c>
      <c r="AA9" s="10">
        <v>57.91</v>
      </c>
      <c r="AB9" s="94">
        <v>4768100</v>
      </c>
      <c r="AC9" s="10">
        <v>57.91</v>
      </c>
      <c r="AD9">
        <f t="shared" si="0"/>
        <v>0.85999999999999943</v>
      </c>
      <c r="AE9" s="137">
        <f t="shared" si="1"/>
        <v>8.641548565502255E-4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42787</v>
      </c>
      <c r="X10" s="10">
        <v>57.6</v>
      </c>
      <c r="Y10" s="10">
        <v>57.99</v>
      </c>
      <c r="Z10" s="10">
        <v>57.08</v>
      </c>
      <c r="AA10" s="10">
        <v>57.86</v>
      </c>
      <c r="AB10" s="94">
        <v>4109200</v>
      </c>
      <c r="AC10" s="10">
        <v>57.86</v>
      </c>
      <c r="AD10">
        <f t="shared" si="0"/>
        <v>0.91000000000000369</v>
      </c>
      <c r="AE10" s="137">
        <f t="shared" si="1"/>
        <v>9.4207955338450056E-3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6.8999999999999999E-3</v>
      </c>
      <c r="W11" s="132">
        <v>42783</v>
      </c>
      <c r="X11" s="10">
        <v>56.12</v>
      </c>
      <c r="Y11" s="10">
        <v>57.35</v>
      </c>
      <c r="Z11" s="10">
        <v>55.58</v>
      </c>
      <c r="AA11" s="10">
        <v>57.32</v>
      </c>
      <c r="AB11" s="94">
        <v>5750200</v>
      </c>
      <c r="AC11" s="10">
        <v>57.32</v>
      </c>
      <c r="AD11">
        <f t="shared" si="0"/>
        <v>1.7700000000000031</v>
      </c>
      <c r="AE11" s="137">
        <f t="shared" si="1"/>
        <v>1.7394391196308145E-2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42782</v>
      </c>
      <c r="X12" s="10">
        <v>57.4</v>
      </c>
      <c r="Y12" s="10">
        <v>57.4</v>
      </c>
      <c r="Z12" s="10">
        <v>56.06</v>
      </c>
      <c r="AA12" s="10">
        <v>56.34</v>
      </c>
      <c r="AB12" s="94">
        <v>5501800</v>
      </c>
      <c r="AC12" s="10">
        <v>56.34</v>
      </c>
      <c r="AD12">
        <f t="shared" si="0"/>
        <v>1.3399999999999963</v>
      </c>
      <c r="AE12" s="137">
        <f t="shared" si="1"/>
        <v>-1.6582300576016729E-2</v>
      </c>
    </row>
    <row r="13" spans="1:31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132">
        <v>42781</v>
      </c>
      <c r="X13" s="10">
        <v>56.91</v>
      </c>
      <c r="Y13" s="10">
        <v>58.06</v>
      </c>
      <c r="Z13" s="10">
        <v>55.8</v>
      </c>
      <c r="AA13" s="10">
        <v>57.29</v>
      </c>
      <c r="AB13" s="94">
        <v>9752100</v>
      </c>
      <c r="AC13" s="10">
        <v>57.29</v>
      </c>
      <c r="AD13">
        <f t="shared" si="0"/>
        <v>2.2600000000000051</v>
      </c>
      <c r="AE13" s="137">
        <f t="shared" si="1"/>
        <v>3.5798228168504753E-2</v>
      </c>
    </row>
    <row r="14" spans="1:31" x14ac:dyDescent="0.25">
      <c r="H14" s="71"/>
      <c r="W14" s="132">
        <v>42780</v>
      </c>
      <c r="X14" s="10">
        <v>55.73</v>
      </c>
      <c r="Y14" s="10">
        <v>55.74</v>
      </c>
      <c r="Z14" s="10">
        <v>54.92</v>
      </c>
      <c r="AA14" s="10">
        <v>55.31</v>
      </c>
      <c r="AB14" s="94">
        <v>4896500</v>
      </c>
      <c r="AC14" s="10">
        <v>55.31</v>
      </c>
      <c r="AD14">
        <f t="shared" si="0"/>
        <v>0.82000000000000028</v>
      </c>
      <c r="AE14" s="137">
        <f t="shared" si="1"/>
        <v>-7.5363359052573742E-3</v>
      </c>
    </row>
    <row r="15" spans="1:31" x14ac:dyDescent="0.25">
      <c r="H15" s="71"/>
      <c r="W15" s="132">
        <v>42779</v>
      </c>
      <c r="X15" s="10">
        <v>54.84</v>
      </c>
      <c r="Y15" s="10">
        <v>56.31</v>
      </c>
      <c r="Z15" s="10">
        <v>54.84</v>
      </c>
      <c r="AA15" s="10">
        <v>55.73</v>
      </c>
      <c r="AB15" s="94">
        <v>5138400</v>
      </c>
      <c r="AC15" s="10">
        <v>55.73</v>
      </c>
      <c r="AD15">
        <f t="shared" si="0"/>
        <v>1.4699999999999989</v>
      </c>
      <c r="AE15" s="137">
        <f t="shared" si="1"/>
        <v>1.8643757996709809E-2</v>
      </c>
    </row>
    <row r="16" spans="1:31" x14ac:dyDescent="0.25">
      <c r="H16" s="71"/>
      <c r="W16" s="132">
        <v>42776</v>
      </c>
      <c r="X16" s="10">
        <v>54.77</v>
      </c>
      <c r="Y16" s="10">
        <v>54.87</v>
      </c>
      <c r="Z16" s="10">
        <v>54.37</v>
      </c>
      <c r="AA16" s="10">
        <v>54.71</v>
      </c>
      <c r="AB16" s="94">
        <v>3192500</v>
      </c>
      <c r="AC16" s="10">
        <v>54.71</v>
      </c>
      <c r="AD16">
        <f t="shared" si="0"/>
        <v>0.5</v>
      </c>
      <c r="AE16" s="137">
        <f t="shared" si="1"/>
        <v>3.4849596478356837E-3</v>
      </c>
    </row>
    <row r="17" spans="1:31" x14ac:dyDescent="0.25">
      <c r="W17" s="132">
        <v>42775</v>
      </c>
      <c r="X17" s="10">
        <v>52.92</v>
      </c>
      <c r="Y17" s="10">
        <v>54.67</v>
      </c>
      <c r="Z17" s="10">
        <v>52.9</v>
      </c>
      <c r="AA17" s="10">
        <v>54.52</v>
      </c>
      <c r="AB17" s="94">
        <v>7690800</v>
      </c>
      <c r="AC17" s="10">
        <v>54.52</v>
      </c>
      <c r="AD17">
        <f t="shared" si="0"/>
        <v>1.7700000000000031</v>
      </c>
      <c r="AE17" s="137">
        <f t="shared" si="1"/>
        <v>3.0234315948601598E-2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53.2</v>
      </c>
      <c r="Y18" s="10">
        <v>53.49</v>
      </c>
      <c r="Z18" s="10">
        <v>52.36</v>
      </c>
      <c r="AA18" s="10">
        <v>52.92</v>
      </c>
      <c r="AB18" s="94">
        <v>4054400</v>
      </c>
      <c r="AC18" s="10">
        <v>52.92</v>
      </c>
      <c r="AD18">
        <f t="shared" si="0"/>
        <v>1.1300000000000026</v>
      </c>
      <c r="AE18" s="137">
        <f t="shared" si="1"/>
        <v>-2.2624434389140191E-3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53.35</v>
      </c>
      <c r="Y19" s="10">
        <v>53.88</v>
      </c>
      <c r="Z19" s="10">
        <v>52.91</v>
      </c>
      <c r="AA19" s="10">
        <v>53.04</v>
      </c>
      <c r="AB19" s="94">
        <v>5136300</v>
      </c>
      <c r="AC19" s="10">
        <v>53.04</v>
      </c>
      <c r="AD19">
        <f t="shared" si="0"/>
        <v>0.97000000000000597</v>
      </c>
      <c r="AE19" s="137">
        <f t="shared" si="1"/>
        <v>-5.6529112492931244E-4</v>
      </c>
    </row>
    <row r="20" spans="1:31" x14ac:dyDescent="0.25">
      <c r="W20" s="132">
        <v>42772</v>
      </c>
      <c r="X20" s="10">
        <v>53.17</v>
      </c>
      <c r="Y20" s="10">
        <v>53.38</v>
      </c>
      <c r="Z20" s="10">
        <v>52.9</v>
      </c>
      <c r="AA20" s="10">
        <v>53.07</v>
      </c>
      <c r="AB20" s="94">
        <v>3312700</v>
      </c>
      <c r="AC20" s="10">
        <v>53.07</v>
      </c>
      <c r="AD20">
        <f t="shared" si="0"/>
        <v>0.48000000000000398</v>
      </c>
      <c r="AE20" s="137">
        <f t="shared" si="1"/>
        <v>3.5930408472011344E-3</v>
      </c>
    </row>
    <row r="21" spans="1:31" x14ac:dyDescent="0.25">
      <c r="W21" s="132">
        <v>42769</v>
      </c>
      <c r="X21" s="10">
        <v>53</v>
      </c>
      <c r="Y21" s="10">
        <v>53.58</v>
      </c>
      <c r="Z21" s="10">
        <v>52.6</v>
      </c>
      <c r="AA21" s="10">
        <v>52.88</v>
      </c>
      <c r="AB21" s="94">
        <v>3609100</v>
      </c>
      <c r="AC21" s="10">
        <v>52.88</v>
      </c>
      <c r="AD21">
        <f t="shared" si="0"/>
        <v>0.97999999999999687</v>
      </c>
      <c r="AE21" s="137">
        <f t="shared" si="1"/>
        <v>3.7835792659857148E-4</v>
      </c>
    </row>
    <row r="22" spans="1:31" x14ac:dyDescent="0.25">
      <c r="W22" s="132">
        <v>42768</v>
      </c>
      <c r="X22" s="10">
        <v>52.27</v>
      </c>
      <c r="Y22" s="10">
        <v>53.31</v>
      </c>
      <c r="Z22" s="10">
        <v>52.18</v>
      </c>
      <c r="AA22" s="10">
        <v>52.86</v>
      </c>
      <c r="AB22" s="94">
        <v>4560900</v>
      </c>
      <c r="AC22" s="10">
        <v>52.86</v>
      </c>
      <c r="AD22">
        <f t="shared" si="0"/>
        <v>1.1300000000000026</v>
      </c>
      <c r="AE22" s="137">
        <f t="shared" si="1"/>
        <v>2.4653897212214559E-3</v>
      </c>
    </row>
    <row r="23" spans="1:31" x14ac:dyDescent="0.25">
      <c r="W23" s="132">
        <v>42767</v>
      </c>
      <c r="X23" s="10">
        <v>52.55</v>
      </c>
      <c r="Y23" s="10">
        <v>53.27</v>
      </c>
      <c r="Z23" s="10">
        <v>52.44</v>
      </c>
      <c r="AA23" s="10">
        <v>52.73</v>
      </c>
      <c r="AB23" s="94">
        <v>4952500</v>
      </c>
      <c r="AC23" s="10">
        <v>52.73</v>
      </c>
      <c r="AD23">
        <f t="shared" si="0"/>
        <v>0.8300000000000054</v>
      </c>
      <c r="AE23" s="137">
        <f t="shared" si="1"/>
        <v>8.0290575415788989E-3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52.06</v>
      </c>
      <c r="Y24" s="10">
        <v>52.4</v>
      </c>
      <c r="Z24" s="10">
        <v>51.51</v>
      </c>
      <c r="AA24" s="10">
        <v>52.31</v>
      </c>
      <c r="AB24" s="94">
        <v>6597300</v>
      </c>
      <c r="AC24" s="10">
        <v>52.31</v>
      </c>
      <c r="AD24">
        <f t="shared" si="0"/>
        <v>0.89000000000000057</v>
      </c>
      <c r="AE24" s="137">
        <f t="shared" si="1"/>
        <v>-7.6408787010506796E-4</v>
      </c>
    </row>
    <row r="25" spans="1:31" x14ac:dyDescent="0.25">
      <c r="B25" s="192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30">
        <f t="shared" ref="H25:H43" si="3">(E25-D25)/D25</f>
        <v>-3.1225582705351872E-2</v>
      </c>
      <c r="I25" s="40"/>
      <c r="W25" s="132">
        <v>42765</v>
      </c>
      <c r="X25" s="10">
        <v>52.13</v>
      </c>
      <c r="Y25" s="10">
        <v>52.4</v>
      </c>
      <c r="Z25" s="10">
        <v>51.17</v>
      </c>
      <c r="AA25" s="10">
        <v>52.35</v>
      </c>
      <c r="AB25" s="94">
        <v>8018600</v>
      </c>
      <c r="AC25" s="10">
        <v>52.35</v>
      </c>
      <c r="AD25">
        <f t="shared" si="0"/>
        <v>1.2299999999999969</v>
      </c>
      <c r="AE25" s="137">
        <f t="shared" si="1"/>
        <v>-6.6413662239089843E-3</v>
      </c>
    </row>
    <row r="26" spans="1:31" x14ac:dyDescent="0.25">
      <c r="B26" s="192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30">
        <f t="shared" si="3"/>
        <v>-1.7986704012418631E-2</v>
      </c>
      <c r="I26" s="40"/>
      <c r="W26" s="132">
        <v>42762</v>
      </c>
      <c r="X26" s="10">
        <v>54.08</v>
      </c>
      <c r="Y26" s="10">
        <v>54.18</v>
      </c>
      <c r="Z26" s="10">
        <v>52.38</v>
      </c>
      <c r="AA26" s="10">
        <v>52.7</v>
      </c>
      <c r="AB26" s="94">
        <v>7632500</v>
      </c>
      <c r="AC26" s="10">
        <v>52.7</v>
      </c>
      <c r="AD26">
        <f t="shared" si="0"/>
        <v>1.7999999999999972</v>
      </c>
      <c r="AE26" s="137">
        <f t="shared" si="1"/>
        <v>-2.2626112759643879E-2</v>
      </c>
    </row>
    <row r="27" spans="1:31" x14ac:dyDescent="0.25">
      <c r="B27" s="192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30">
        <f t="shared" si="3"/>
        <v>-2.4048734868314506E-2</v>
      </c>
      <c r="I27" s="40"/>
      <c r="W27" s="132">
        <v>42761</v>
      </c>
      <c r="X27" s="10">
        <v>51.4</v>
      </c>
      <c r="Y27" s="10">
        <v>53.99</v>
      </c>
      <c r="Z27" s="10">
        <v>51.14</v>
      </c>
      <c r="AA27" s="10">
        <v>53.92</v>
      </c>
      <c r="AB27" s="94">
        <v>15791900</v>
      </c>
      <c r="AC27" s="10">
        <v>53.92</v>
      </c>
      <c r="AD27">
        <f t="shared" si="0"/>
        <v>2.8500000000000014</v>
      </c>
      <c r="AE27" s="137">
        <f t="shared" si="1"/>
        <v>9.0173877881116082E-2</v>
      </c>
    </row>
    <row r="28" spans="1:31" x14ac:dyDescent="0.25">
      <c r="B28" s="192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30">
        <f t="shared" si="3"/>
        <v>-1.5673735521350285E-5</v>
      </c>
      <c r="I28" s="40"/>
      <c r="W28" s="132">
        <v>42760</v>
      </c>
      <c r="X28" s="10">
        <v>49.09</v>
      </c>
      <c r="Y28" s="10">
        <v>49.95</v>
      </c>
      <c r="Z28" s="10">
        <v>48.71</v>
      </c>
      <c r="AA28" s="10">
        <v>49.46</v>
      </c>
      <c r="AB28" s="94">
        <v>7725800</v>
      </c>
      <c r="AC28" s="10">
        <v>49.46</v>
      </c>
      <c r="AD28">
        <f t="shared" si="0"/>
        <v>1.240000000000002</v>
      </c>
      <c r="AE28" s="137">
        <f t="shared" si="1"/>
        <v>-3.8267875125880257E-3</v>
      </c>
    </row>
    <row r="29" spans="1:31" x14ac:dyDescent="0.25">
      <c r="B29" s="192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30">
        <f t="shared" si="3"/>
        <v>-3.3191747255790181E-2</v>
      </c>
      <c r="I29" s="40"/>
      <c r="W29" s="132">
        <v>42759</v>
      </c>
      <c r="X29" s="10">
        <v>50.12</v>
      </c>
      <c r="Y29" s="10">
        <v>50.24</v>
      </c>
      <c r="Z29" s="10">
        <v>49.58</v>
      </c>
      <c r="AA29" s="10">
        <v>49.65</v>
      </c>
      <c r="AB29" s="94">
        <v>6128700</v>
      </c>
      <c r="AC29" s="10">
        <v>49.65</v>
      </c>
      <c r="AD29">
        <f t="shared" si="0"/>
        <v>0.66000000000000369</v>
      </c>
      <c r="AE29" s="137">
        <f t="shared" si="1"/>
        <v>-5.8069683620344259E-3</v>
      </c>
    </row>
    <row r="30" spans="1:31" x14ac:dyDescent="0.25">
      <c r="B30" s="192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30">
        <f t="shared" si="3"/>
        <v>-7.1592399283187849E-2</v>
      </c>
      <c r="I30" s="40"/>
      <c r="W30" s="132">
        <v>42758</v>
      </c>
      <c r="X30" s="10">
        <v>51.03</v>
      </c>
      <c r="Y30" s="10">
        <v>51.14</v>
      </c>
      <c r="Z30" s="10">
        <v>49.77</v>
      </c>
      <c r="AA30" s="10">
        <v>49.94</v>
      </c>
      <c r="AB30" s="94">
        <v>4176200</v>
      </c>
      <c r="AC30" s="10">
        <v>49.94</v>
      </c>
      <c r="AD30">
        <f t="shared" si="0"/>
        <v>1.3699999999999974</v>
      </c>
      <c r="AE30" s="137">
        <f t="shared" si="1"/>
        <v>-2.2509297318457744E-2</v>
      </c>
    </row>
    <row r="31" spans="1:31" x14ac:dyDescent="0.25">
      <c r="B31" s="192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30">
        <f t="shared" si="3"/>
        <v>-3.3714205106502977E-2</v>
      </c>
      <c r="I31" s="40"/>
      <c r="W31" s="132">
        <v>42755</v>
      </c>
      <c r="X31" s="10">
        <v>50.14</v>
      </c>
      <c r="Y31" s="10">
        <v>51.17</v>
      </c>
      <c r="Z31" s="10">
        <v>50.14</v>
      </c>
      <c r="AA31" s="10">
        <v>51.09</v>
      </c>
      <c r="AB31" s="94">
        <v>5149000</v>
      </c>
      <c r="AC31" s="10">
        <v>51.09</v>
      </c>
      <c r="AD31">
        <f t="shared" si="0"/>
        <v>1.0300000000000011</v>
      </c>
      <c r="AE31" s="137">
        <f t="shared" si="1"/>
        <v>2.0371479928100733E-2</v>
      </c>
    </row>
    <row r="32" spans="1:31" x14ac:dyDescent="0.25">
      <c r="B32" s="192">
        <v>42598</v>
      </c>
      <c r="C32" s="488">
        <v>200</v>
      </c>
      <c r="D32" s="491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30">
        <f t="shared" si="3"/>
        <v>-3.9591852835597109E-2</v>
      </c>
      <c r="I32" s="40"/>
      <c r="W32" s="132">
        <v>42754</v>
      </c>
      <c r="X32" s="10">
        <v>50.45</v>
      </c>
      <c r="Y32" s="10">
        <v>50.75</v>
      </c>
      <c r="Z32" s="10">
        <v>49.85</v>
      </c>
      <c r="AA32" s="10">
        <v>50.07</v>
      </c>
      <c r="AB32" s="94">
        <v>4237900</v>
      </c>
      <c r="AC32" s="10">
        <v>50.07</v>
      </c>
      <c r="AD32">
        <f t="shared" si="0"/>
        <v>0.89999999999999858</v>
      </c>
      <c r="AE32" s="137">
        <f t="shared" si="1"/>
        <v>-6.1532354108774223E-3</v>
      </c>
    </row>
    <row r="33" spans="2:31" x14ac:dyDescent="0.25">
      <c r="B33" s="192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30">
        <f t="shared" si="3"/>
        <v>-3.0913465963629656E-2</v>
      </c>
      <c r="I33" s="235"/>
      <c r="W33" s="132">
        <v>42753</v>
      </c>
      <c r="X33" s="10">
        <v>50.07</v>
      </c>
      <c r="Y33" s="10">
        <v>50.66</v>
      </c>
      <c r="Z33" s="10">
        <v>49.7</v>
      </c>
      <c r="AA33" s="10">
        <v>50.38</v>
      </c>
      <c r="AB33" s="94">
        <v>5897000</v>
      </c>
      <c r="AC33" s="10">
        <v>50.38</v>
      </c>
      <c r="AD33">
        <f t="shared" si="0"/>
        <v>0.95999999999999375</v>
      </c>
      <c r="AE33" s="137">
        <f t="shared" si="1"/>
        <v>2.7866242038216971E-3</v>
      </c>
    </row>
    <row r="34" spans="2:31" x14ac:dyDescent="0.25">
      <c r="B34" s="192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30">
        <f t="shared" si="3"/>
        <v>-4.4062536981762226E-2</v>
      </c>
      <c r="I34" s="40"/>
      <c r="W34" s="132">
        <v>42752</v>
      </c>
      <c r="X34" s="10">
        <v>50.88</v>
      </c>
      <c r="Y34" s="10">
        <v>51.34</v>
      </c>
      <c r="Z34" s="10">
        <v>50.22</v>
      </c>
      <c r="AA34" s="10">
        <v>50.24</v>
      </c>
      <c r="AB34" s="94">
        <v>4214900</v>
      </c>
      <c r="AC34" s="10">
        <v>50.24</v>
      </c>
      <c r="AD34">
        <f t="shared" si="0"/>
        <v>1.1200000000000045</v>
      </c>
      <c r="AE34" s="137">
        <f t="shared" si="1"/>
        <v>-1.7790811339198354E-2</v>
      </c>
    </row>
    <row r="35" spans="2:31" x14ac:dyDescent="0.25">
      <c r="B35" s="192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30">
        <f t="shared" si="3"/>
        <v>-3.5121168689432179E-2</v>
      </c>
      <c r="I35" s="40"/>
      <c r="W35" s="132">
        <v>42748</v>
      </c>
      <c r="X35" s="10">
        <v>51</v>
      </c>
      <c r="Y35" s="10">
        <v>51.34</v>
      </c>
      <c r="Z35" s="10">
        <v>50.78</v>
      </c>
      <c r="AA35" s="10">
        <v>51.15</v>
      </c>
      <c r="AB35" s="94">
        <v>2611300</v>
      </c>
      <c r="AC35" s="10">
        <v>51.15</v>
      </c>
      <c r="AD35">
        <f t="shared" si="0"/>
        <v>0.56000000000000227</v>
      </c>
      <c r="AE35" s="137">
        <f t="shared" si="1"/>
        <v>2.7445598902176016E-3</v>
      </c>
    </row>
    <row r="36" spans="2:31" x14ac:dyDescent="0.25">
      <c r="B36" s="192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30">
        <f t="shared" si="3"/>
        <v>-4.1432722778135672E-2</v>
      </c>
      <c r="I36" s="40"/>
      <c r="W36" s="132">
        <v>42747</v>
      </c>
      <c r="X36" s="10">
        <v>51.68</v>
      </c>
      <c r="Y36" s="10">
        <v>51.95</v>
      </c>
      <c r="Z36" s="10">
        <v>50.26</v>
      </c>
      <c r="AA36" s="10">
        <v>51.01</v>
      </c>
      <c r="AB36" s="94">
        <v>6033600</v>
      </c>
      <c r="AC36" s="10">
        <v>51.01</v>
      </c>
      <c r="AD36">
        <f t="shared" si="0"/>
        <v>1.6900000000000048</v>
      </c>
      <c r="AE36" s="137">
        <f t="shared" si="1"/>
        <v>-1.2964396284829705E-2</v>
      </c>
    </row>
    <row r="37" spans="2:31" x14ac:dyDescent="0.25">
      <c r="B37" s="192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30">
        <f t="shared" si="3"/>
        <v>-2.2235079091662207E-2</v>
      </c>
      <c r="I37" s="40"/>
      <c r="W37" s="132">
        <v>42746</v>
      </c>
      <c r="X37" s="10">
        <v>51.77</v>
      </c>
      <c r="Y37" s="10">
        <v>52.2</v>
      </c>
      <c r="Z37" s="10">
        <v>51.47</v>
      </c>
      <c r="AA37" s="10">
        <v>51.68</v>
      </c>
      <c r="AB37" s="94">
        <v>5928700</v>
      </c>
      <c r="AC37" s="10">
        <v>51.68</v>
      </c>
      <c r="AD37">
        <f t="shared" si="0"/>
        <v>0.73000000000000398</v>
      </c>
      <c r="AE37" s="137">
        <f t="shared" si="1"/>
        <v>6.6225165562914245E-3</v>
      </c>
    </row>
    <row r="38" spans="2:31" x14ac:dyDescent="0.25">
      <c r="B38" s="192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30">
        <f t="shared" si="3"/>
        <v>-2.9861540282179074E-2</v>
      </c>
      <c r="I38" s="40"/>
      <c r="W38" s="132">
        <v>42745</v>
      </c>
      <c r="X38" s="10">
        <v>50.55</v>
      </c>
      <c r="Y38" s="10">
        <v>51.89</v>
      </c>
      <c r="Z38" s="10">
        <v>50.53</v>
      </c>
      <c r="AA38" s="10">
        <v>51.34</v>
      </c>
      <c r="AB38" s="94">
        <v>5522900</v>
      </c>
      <c r="AC38" s="10">
        <v>51.34</v>
      </c>
      <c r="AD38">
        <f t="shared" si="0"/>
        <v>1.3599999999999994</v>
      </c>
      <c r="AE38" s="137">
        <f t="shared" si="1"/>
        <v>2.067594433399611E-2</v>
      </c>
    </row>
    <row r="39" spans="2:31" x14ac:dyDescent="0.25">
      <c r="B39" s="192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30">
        <f t="shared" si="3"/>
        <v>2.9495525899743861E-2</v>
      </c>
      <c r="I39" s="40"/>
      <c r="W39" s="132">
        <v>42744</v>
      </c>
      <c r="X39" s="10">
        <v>50</v>
      </c>
      <c r="Y39" s="10">
        <v>50.93</v>
      </c>
      <c r="Z39" s="10">
        <v>49.8</v>
      </c>
      <c r="AA39" s="10">
        <v>50.3</v>
      </c>
      <c r="AB39" s="94">
        <v>4965600</v>
      </c>
      <c r="AC39" s="10">
        <v>50.3</v>
      </c>
      <c r="AD39">
        <f t="shared" si="0"/>
        <v>1.1300000000000026</v>
      </c>
      <c r="AE39" s="137">
        <f t="shared" si="1"/>
        <v>7.410374524333907E-3</v>
      </c>
    </row>
    <row r="40" spans="2:31" ht="20.25" thickBot="1" x14ac:dyDescent="0.35">
      <c r="B40" s="192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30">
        <f t="shared" si="3"/>
        <v>3.7145655280184459E-2</v>
      </c>
      <c r="I40" s="40"/>
      <c r="O40" s="703" t="s">
        <v>78</v>
      </c>
      <c r="P40" s="703"/>
      <c r="W40" s="132">
        <v>42741</v>
      </c>
      <c r="X40" s="10">
        <v>50.49</v>
      </c>
      <c r="Y40" s="10">
        <v>50.65</v>
      </c>
      <c r="Z40" s="10">
        <v>49.45</v>
      </c>
      <c r="AA40" s="10">
        <v>49.93</v>
      </c>
      <c r="AB40" s="94">
        <v>5650200</v>
      </c>
      <c r="AC40" s="10">
        <v>49.93</v>
      </c>
      <c r="AD40">
        <f t="shared" si="0"/>
        <v>1.1999999999999957</v>
      </c>
      <c r="AE40" s="137">
        <f t="shared" si="1"/>
        <v>-1.069942540122848E-2</v>
      </c>
    </row>
    <row r="41" spans="2:31" ht="15.75" thickTop="1" x14ac:dyDescent="0.25">
      <c r="B41" s="192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30">
        <f t="shared" si="3"/>
        <v>-8.5090897414619962E-4</v>
      </c>
      <c r="I41" s="40"/>
      <c r="O41" s="82">
        <v>1.1000000000000001</v>
      </c>
      <c r="P41" s="82">
        <f>O41*$Q$4</f>
        <v>61.468000000000011</v>
      </c>
      <c r="Q41" s="2"/>
      <c r="W41" s="132">
        <v>42740</v>
      </c>
      <c r="X41" s="10">
        <v>51.44</v>
      </c>
      <c r="Y41" s="10">
        <v>52.12</v>
      </c>
      <c r="Z41" s="10">
        <v>50.12</v>
      </c>
      <c r="AA41" s="10">
        <v>50.47</v>
      </c>
      <c r="AB41" s="94">
        <v>6435100</v>
      </c>
      <c r="AC41" s="10">
        <v>50.47</v>
      </c>
      <c r="AD41">
        <f t="shared" si="0"/>
        <v>2</v>
      </c>
      <c r="AE41" s="137">
        <f t="shared" si="1"/>
        <v>-1.6179337231968738E-2</v>
      </c>
    </row>
    <row r="42" spans="2:31" ht="20.25" thickBot="1" x14ac:dyDescent="0.35">
      <c r="B42" s="192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30">
        <f t="shared" si="3"/>
        <v>1.1993000069571172E-2</v>
      </c>
      <c r="I42" s="40"/>
      <c r="O42" s="82">
        <v>1.0900000000000001</v>
      </c>
      <c r="P42" s="82">
        <f t="shared" ref="P42:P61" si="6">O42*$Q$4</f>
        <v>60.909200000000006</v>
      </c>
      <c r="Q42" s="2"/>
      <c r="T42" s="90" t="s">
        <v>113</v>
      </c>
      <c r="W42" s="132">
        <v>42739</v>
      </c>
      <c r="X42" s="10">
        <v>50.25</v>
      </c>
      <c r="Y42" s="10">
        <v>51.42</v>
      </c>
      <c r="Z42" s="10">
        <v>50.15</v>
      </c>
      <c r="AA42" s="10">
        <v>51.3</v>
      </c>
      <c r="AB42" s="94">
        <v>4860900</v>
      </c>
      <c r="AC42" s="10">
        <v>51.3</v>
      </c>
      <c r="AD42">
        <f t="shared" si="0"/>
        <v>1.2700000000000031</v>
      </c>
      <c r="AE42" s="137">
        <f t="shared" si="1"/>
        <v>2.6410564225690214E-2</v>
      </c>
    </row>
    <row r="43" spans="2:31" ht="15.75" thickTop="1" x14ac:dyDescent="0.25">
      <c r="B43" s="192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30">
        <f t="shared" si="3"/>
        <v>-1.1184904125571167E-3</v>
      </c>
      <c r="I43" s="40"/>
      <c r="O43" s="82">
        <v>1.08</v>
      </c>
      <c r="P43" s="82">
        <f t="shared" si="6"/>
        <v>60.350400000000008</v>
      </c>
      <c r="Q43" s="2"/>
      <c r="T43" s="127" t="s">
        <v>98</v>
      </c>
      <c r="U43" s="128">
        <v>57.57</v>
      </c>
      <c r="W43" s="132">
        <v>42738</v>
      </c>
      <c r="X43" s="10">
        <v>50.4</v>
      </c>
      <c r="Y43" s="10">
        <v>51.16</v>
      </c>
      <c r="Z43" s="10">
        <v>49.81</v>
      </c>
      <c r="AA43" s="10">
        <v>49.98</v>
      </c>
      <c r="AB43" s="94">
        <v>4207500</v>
      </c>
      <c r="AC43" s="10">
        <v>49.98</v>
      </c>
      <c r="AD43">
        <f t="shared" si="0"/>
        <v>1.3499999999999943</v>
      </c>
      <c r="AE43" s="137">
        <f t="shared" si="1"/>
        <v>2.8089887640447841E-3</v>
      </c>
    </row>
    <row r="44" spans="2:31" x14ac:dyDescent="0.25">
      <c r="B44" s="192">
        <v>42640</v>
      </c>
      <c r="C44" s="10">
        <v>0</v>
      </c>
      <c r="D44" s="40"/>
      <c r="E44" s="40"/>
      <c r="F44" s="40">
        <v>117.74</v>
      </c>
      <c r="G44" s="40"/>
      <c r="H44" s="230"/>
      <c r="I44" s="40"/>
      <c r="O44" s="82">
        <v>1.07</v>
      </c>
      <c r="P44" s="82">
        <f t="shared" si="6"/>
        <v>59.79160000000001</v>
      </c>
      <c r="Q44" s="2"/>
      <c r="T44" s="92" t="s">
        <v>99</v>
      </c>
      <c r="U44" s="129">
        <v>57.7</v>
      </c>
      <c r="W44" s="132">
        <v>42734</v>
      </c>
      <c r="X44" s="10">
        <v>50.19</v>
      </c>
      <c r="Y44" s="10">
        <v>50.37</v>
      </c>
      <c r="Z44" s="10">
        <v>49.53</v>
      </c>
      <c r="AA44" s="10">
        <v>49.84</v>
      </c>
      <c r="AB44" s="94">
        <v>3257200</v>
      </c>
      <c r="AC44" s="10">
        <v>49.84</v>
      </c>
      <c r="AD44">
        <f t="shared" si="0"/>
        <v>0.83999999999999631</v>
      </c>
      <c r="AE44" s="137">
        <f t="shared" si="1"/>
        <v>-7.171314741035828E-3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59.232800000000005</v>
      </c>
      <c r="Q45" s="2"/>
      <c r="T45" s="92" t="s">
        <v>100</v>
      </c>
      <c r="U45" s="129" t="s">
        <v>129</v>
      </c>
      <c r="W45" s="132">
        <v>42733</v>
      </c>
      <c r="X45" s="10">
        <v>50.19</v>
      </c>
      <c r="Y45" s="10">
        <v>50.62</v>
      </c>
      <c r="Z45" s="10">
        <v>49.96</v>
      </c>
      <c r="AA45" s="10">
        <v>50.2</v>
      </c>
      <c r="AB45" s="94">
        <v>2160500</v>
      </c>
      <c r="AC45" s="10">
        <v>50.2</v>
      </c>
      <c r="AD45">
        <f t="shared" si="0"/>
        <v>0.65999999999999659</v>
      </c>
      <c r="AE45" s="137">
        <f t="shared" si="1"/>
        <v>5.9796691249758283E-4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58.674000000000007</v>
      </c>
      <c r="Q46" s="2"/>
      <c r="T46" s="92" t="s">
        <v>101</v>
      </c>
      <c r="U46" s="129" t="s">
        <v>129</v>
      </c>
      <c r="W46" s="132">
        <v>42732</v>
      </c>
      <c r="X46" s="10">
        <v>50.53</v>
      </c>
      <c r="Y46" s="10">
        <v>50.96</v>
      </c>
      <c r="Z46" s="10">
        <v>50.07</v>
      </c>
      <c r="AA46" s="10">
        <v>50.17</v>
      </c>
      <c r="AB46" s="94">
        <v>3161500</v>
      </c>
      <c r="AC46" s="10">
        <v>50.17</v>
      </c>
      <c r="AD46">
        <f t="shared" si="0"/>
        <v>0.89000000000000057</v>
      </c>
      <c r="AE46" s="137">
        <f t="shared" si="1"/>
        <v>-6.3378886908298515E-3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6"/>
        <v>58.115200000000002</v>
      </c>
      <c r="Q47" s="2"/>
      <c r="T47" s="92" t="s">
        <v>102</v>
      </c>
      <c r="U47" s="129">
        <v>62.2</v>
      </c>
      <c r="W47" s="132">
        <v>42731</v>
      </c>
      <c r="X47" s="10">
        <v>50.46</v>
      </c>
      <c r="Y47" s="10">
        <v>50.78</v>
      </c>
      <c r="Z47" s="10">
        <v>50.26</v>
      </c>
      <c r="AA47" s="10">
        <v>50.49</v>
      </c>
      <c r="AB47" s="94">
        <v>1874200</v>
      </c>
      <c r="AC47" s="10">
        <v>50.49</v>
      </c>
      <c r="AD47">
        <f t="shared" si="0"/>
        <v>0.52000000000000313</v>
      </c>
      <c r="AE47" s="137">
        <f t="shared" si="1"/>
        <v>7.9286422200186557E-4</v>
      </c>
    </row>
    <row r="48" spans="2:31" x14ac:dyDescent="0.25">
      <c r="O48" s="82">
        <v>1.03</v>
      </c>
      <c r="P48" s="82">
        <f t="shared" si="6"/>
        <v>57.556400000000004</v>
      </c>
      <c r="Q48" s="2"/>
      <c r="T48" s="92" t="s">
        <v>103</v>
      </c>
      <c r="U48" s="129">
        <v>1.1985399999999999</v>
      </c>
      <c r="W48" s="132">
        <v>42727</v>
      </c>
      <c r="X48" s="10">
        <v>50.36</v>
      </c>
      <c r="Y48" s="10">
        <v>50.72</v>
      </c>
      <c r="Z48" s="10">
        <v>50.19</v>
      </c>
      <c r="AA48" s="10">
        <v>50.45</v>
      </c>
      <c r="AB48" s="94">
        <v>1616700</v>
      </c>
      <c r="AC48" s="10">
        <v>50.45</v>
      </c>
      <c r="AD48">
        <f t="shared" si="0"/>
        <v>0.53000000000000114</v>
      </c>
      <c r="AE48" s="137">
        <f t="shared" si="1"/>
        <v>3.9800995024876773E-3</v>
      </c>
    </row>
    <row r="49" spans="1:31" x14ac:dyDescent="0.25">
      <c r="O49" s="82">
        <v>1.02</v>
      </c>
      <c r="P49" s="82">
        <f t="shared" si="6"/>
        <v>56.997600000000006</v>
      </c>
      <c r="Q49" s="2"/>
      <c r="T49" s="92" t="s">
        <v>104</v>
      </c>
      <c r="U49" s="129" t="s">
        <v>416</v>
      </c>
      <c r="W49" s="132">
        <v>42726</v>
      </c>
      <c r="X49" s="10">
        <v>50.72</v>
      </c>
      <c r="Y49" s="10">
        <v>51.03</v>
      </c>
      <c r="Z49" s="10">
        <v>50.08</v>
      </c>
      <c r="AA49" s="10">
        <v>50.25</v>
      </c>
      <c r="AB49" s="94">
        <v>2486200</v>
      </c>
      <c r="AC49" s="10">
        <v>50.25</v>
      </c>
      <c r="AD49">
        <f t="shared" si="0"/>
        <v>0.95000000000000284</v>
      </c>
      <c r="AE49" s="137">
        <f t="shared" si="1"/>
        <v>-7.8973346495557761E-3</v>
      </c>
    </row>
    <row r="50" spans="1:31" x14ac:dyDescent="0.25">
      <c r="O50" s="82">
        <v>1.01</v>
      </c>
      <c r="P50" s="82">
        <f t="shared" si="6"/>
        <v>56.438800000000001</v>
      </c>
      <c r="Q50" s="2"/>
      <c r="T50" s="92"/>
      <c r="U50" s="129"/>
      <c r="W50" s="132">
        <v>42725</v>
      </c>
      <c r="X50" s="10">
        <v>50.77</v>
      </c>
      <c r="Y50" s="10">
        <v>51.08</v>
      </c>
      <c r="Z50" s="10">
        <v>50.52</v>
      </c>
      <c r="AA50" s="10">
        <v>50.65</v>
      </c>
      <c r="AB50" s="94">
        <v>3954100</v>
      </c>
      <c r="AC50" s="10">
        <v>50.65</v>
      </c>
      <c r="AD50">
        <f t="shared" si="0"/>
        <v>0.55999999999999517</v>
      </c>
      <c r="AE50" s="137">
        <f t="shared" si="1"/>
        <v>-4.7160542346237344E-3</v>
      </c>
    </row>
    <row r="51" spans="1:31" x14ac:dyDescent="0.25">
      <c r="O51" s="82">
        <v>1</v>
      </c>
      <c r="P51" s="82">
        <f t="shared" si="6"/>
        <v>55.88</v>
      </c>
      <c r="Q51" s="2"/>
      <c r="T51" s="92" t="s">
        <v>105</v>
      </c>
      <c r="U51" s="129" t="s">
        <v>612</v>
      </c>
      <c r="W51" s="132">
        <v>42724</v>
      </c>
      <c r="X51" s="10">
        <v>50.55</v>
      </c>
      <c r="Y51" s="10">
        <v>51.19</v>
      </c>
      <c r="Z51" s="10">
        <v>50.41</v>
      </c>
      <c r="AA51" s="10">
        <v>50.89</v>
      </c>
      <c r="AB51" s="94">
        <v>3698500</v>
      </c>
      <c r="AC51" s="10">
        <v>50.89</v>
      </c>
      <c r="AD51">
        <f t="shared" si="0"/>
        <v>0.78000000000000114</v>
      </c>
      <c r="AE51" s="137">
        <f t="shared" si="1"/>
        <v>1.0724925521350626E-2</v>
      </c>
    </row>
    <row r="52" spans="1:31" x14ac:dyDescent="0.25">
      <c r="O52" s="82">
        <v>0.99</v>
      </c>
      <c r="P52" s="82">
        <f t="shared" si="6"/>
        <v>55.321200000000005</v>
      </c>
      <c r="Q52" s="2"/>
      <c r="T52" s="92" t="s">
        <v>106</v>
      </c>
      <c r="U52" s="129" t="s">
        <v>552</v>
      </c>
      <c r="W52" s="132">
        <v>42723</v>
      </c>
      <c r="X52" s="10">
        <v>50.26</v>
      </c>
      <c r="Y52" s="10">
        <v>50.53</v>
      </c>
      <c r="Z52" s="10">
        <v>49.72</v>
      </c>
      <c r="AA52" s="10">
        <v>50.35</v>
      </c>
      <c r="AB52" s="94">
        <v>3191700</v>
      </c>
      <c r="AC52" s="10">
        <v>50.35</v>
      </c>
      <c r="AD52">
        <f t="shared" si="0"/>
        <v>0.81000000000000227</v>
      </c>
      <c r="AE52" s="137">
        <f t="shared" si="1"/>
        <v>8.4117764870819123E-3</v>
      </c>
    </row>
    <row r="53" spans="1:31" x14ac:dyDescent="0.25">
      <c r="O53" s="82">
        <v>0.98</v>
      </c>
      <c r="P53" s="82">
        <f t="shared" si="6"/>
        <v>54.7624</v>
      </c>
      <c r="Q53" s="2"/>
      <c r="T53" s="92" t="s">
        <v>107</v>
      </c>
      <c r="U53" s="130">
        <v>5137340</v>
      </c>
      <c r="W53" s="132">
        <v>42720</v>
      </c>
      <c r="X53" s="10">
        <v>50.74</v>
      </c>
      <c r="Y53" s="10">
        <v>51.13</v>
      </c>
      <c r="Z53" s="10">
        <v>49.89</v>
      </c>
      <c r="AA53" s="10">
        <v>49.93</v>
      </c>
      <c r="AB53" s="94">
        <v>7358700</v>
      </c>
      <c r="AC53" s="10">
        <v>49.93</v>
      </c>
      <c r="AD53">
        <f t="shared" si="0"/>
        <v>1.240000000000002</v>
      </c>
      <c r="AE53" s="137">
        <f t="shared" si="1"/>
        <v>-1.3046056532911687E-2</v>
      </c>
    </row>
    <row r="54" spans="1:31" x14ac:dyDescent="0.25">
      <c r="O54" s="82">
        <v>0.97</v>
      </c>
      <c r="P54" s="82">
        <f t="shared" si="6"/>
        <v>54.203600000000002</v>
      </c>
      <c r="T54" s="92" t="s">
        <v>110</v>
      </c>
      <c r="U54" s="130">
        <v>5459540</v>
      </c>
      <c r="W54" s="132">
        <v>42719</v>
      </c>
      <c r="X54" s="10">
        <v>49.43</v>
      </c>
      <c r="Y54" s="10">
        <v>51.31</v>
      </c>
      <c r="Z54" s="10">
        <v>49.4</v>
      </c>
      <c r="AA54" s="10">
        <v>50.59</v>
      </c>
      <c r="AB54" s="94">
        <v>8906800</v>
      </c>
      <c r="AC54" s="10">
        <v>50.59</v>
      </c>
      <c r="AD54">
        <f t="shared" si="0"/>
        <v>1.9100000000000037</v>
      </c>
      <c r="AE54" s="137">
        <f t="shared" si="1"/>
        <v>2.6582792207792361E-2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53.644800000000004</v>
      </c>
      <c r="T55" s="92" t="s">
        <v>108</v>
      </c>
      <c r="U55" s="129" t="s">
        <v>613</v>
      </c>
      <c r="W55" s="132">
        <v>42718</v>
      </c>
      <c r="X55" s="10">
        <v>49.5</v>
      </c>
      <c r="Y55" s="10">
        <v>50</v>
      </c>
      <c r="Z55" s="10">
        <v>48.9</v>
      </c>
      <c r="AA55" s="10">
        <v>49.28</v>
      </c>
      <c r="AB55" s="94">
        <v>5822600</v>
      </c>
      <c r="AC55" s="10">
        <v>49.28</v>
      </c>
      <c r="AD55">
        <f t="shared" si="0"/>
        <v>1.1000000000000014</v>
      </c>
      <c r="AE55" s="137">
        <f t="shared" si="1"/>
        <v>-5.4490413723510267E-3</v>
      </c>
    </row>
    <row r="56" spans="1:31" x14ac:dyDescent="0.25">
      <c r="A56" s="384" t="s">
        <v>1</v>
      </c>
      <c r="B56" s="384" t="s">
        <v>2</v>
      </c>
      <c r="C56" s="384" t="s">
        <v>4</v>
      </c>
      <c r="D56" s="386" t="s">
        <v>5</v>
      </c>
      <c r="E56" s="386" t="s">
        <v>94</v>
      </c>
      <c r="F56" s="386" t="s">
        <v>60</v>
      </c>
      <c r="G56" s="384" t="s">
        <v>3</v>
      </c>
      <c r="H56" s="384" t="s">
        <v>6</v>
      </c>
      <c r="I56" s="386" t="s">
        <v>7</v>
      </c>
      <c r="J56" s="386" t="s">
        <v>95</v>
      </c>
      <c r="K56" s="386" t="s">
        <v>61</v>
      </c>
      <c r="L56" s="384" t="s">
        <v>37</v>
      </c>
      <c r="M56" s="384" t="s">
        <v>38</v>
      </c>
      <c r="O56" s="82">
        <v>0.95</v>
      </c>
      <c r="P56" s="82">
        <f t="shared" si="6"/>
        <v>53.085999999999999</v>
      </c>
      <c r="T56" s="92" t="s">
        <v>111</v>
      </c>
      <c r="U56" s="129">
        <v>16.59</v>
      </c>
      <c r="W56" s="132">
        <v>42717</v>
      </c>
      <c r="X56" s="10">
        <v>49.47</v>
      </c>
      <c r="Y56" s="10">
        <v>50.43</v>
      </c>
      <c r="Z56" s="10">
        <v>49.45</v>
      </c>
      <c r="AA56" s="10">
        <v>49.55</v>
      </c>
      <c r="AB56" s="94">
        <v>6552400</v>
      </c>
      <c r="AC56" s="10">
        <v>49.55</v>
      </c>
      <c r="AD56">
        <f t="shared" si="0"/>
        <v>0.97999999999999687</v>
      </c>
      <c r="AE56" s="137">
        <f t="shared" si="1"/>
        <v>3.6459388292484629E-3</v>
      </c>
    </row>
    <row r="57" spans="1:31" x14ac:dyDescent="0.25">
      <c r="A57" s="387" t="s">
        <v>36</v>
      </c>
      <c r="B57" s="377">
        <v>42572</v>
      </c>
      <c r="C57" s="378">
        <v>60</v>
      </c>
      <c r="D57" s="379">
        <v>39.58</v>
      </c>
      <c r="E57" s="379">
        <v>0</v>
      </c>
      <c r="F57" s="379">
        <f>C57*D57+E57</f>
        <v>2374.7999999999997</v>
      </c>
      <c r="G57" s="377">
        <v>42620</v>
      </c>
      <c r="H57" s="382">
        <v>100</v>
      </c>
      <c r="I57" s="379">
        <v>38.479999999999997</v>
      </c>
      <c r="J57" s="379">
        <v>0.08</v>
      </c>
      <c r="K57" s="379">
        <f>I57*H57-J57</f>
        <v>3847.9199999999996</v>
      </c>
      <c r="L57" s="377">
        <v>42621</v>
      </c>
      <c r="M57" s="379">
        <v>20</v>
      </c>
      <c r="O57" s="82">
        <v>0.94</v>
      </c>
      <c r="P57" s="82">
        <f t="shared" si="6"/>
        <v>52.527200000000001</v>
      </c>
      <c r="T57" s="92" t="s">
        <v>112</v>
      </c>
      <c r="U57" s="129">
        <v>3.55</v>
      </c>
      <c r="W57" s="132">
        <v>42716</v>
      </c>
      <c r="X57" s="10">
        <v>49.36</v>
      </c>
      <c r="Y57" s="10">
        <v>49.69</v>
      </c>
      <c r="Z57" s="10">
        <v>48.92</v>
      </c>
      <c r="AA57" s="10">
        <v>49.37</v>
      </c>
      <c r="AB57" s="94">
        <v>8756200</v>
      </c>
      <c r="AC57" s="10">
        <v>49.37</v>
      </c>
      <c r="AD57">
        <f t="shared" si="0"/>
        <v>0.76999999999999602</v>
      </c>
      <c r="AE57" s="137">
        <f t="shared" si="1"/>
        <v>-8.4354288009640399E-3</v>
      </c>
    </row>
    <row r="58" spans="1:31" x14ac:dyDescent="0.25">
      <c r="A58" s="388" t="s">
        <v>71</v>
      </c>
      <c r="B58" s="377">
        <v>42572</v>
      </c>
      <c r="C58" s="378">
        <v>40</v>
      </c>
      <c r="D58" s="379">
        <v>37.880000000000003</v>
      </c>
      <c r="E58" s="379">
        <v>0</v>
      </c>
      <c r="F58" s="379">
        <f>C58*D58+E58</f>
        <v>1515.2</v>
      </c>
      <c r="G58" s="377">
        <v>42640</v>
      </c>
      <c r="H58" s="382">
        <v>100</v>
      </c>
      <c r="I58" s="379">
        <v>38.549999999999997</v>
      </c>
      <c r="J58" s="379">
        <v>0.08</v>
      </c>
      <c r="K58" s="379">
        <f>I58*H58-J58</f>
        <v>3854.9199999999996</v>
      </c>
      <c r="L58" s="378"/>
      <c r="M58" s="378"/>
      <c r="O58" s="82">
        <v>0.93</v>
      </c>
      <c r="P58" s="82">
        <f t="shared" si="6"/>
        <v>51.968400000000003</v>
      </c>
      <c r="T58" s="92" t="s">
        <v>109</v>
      </c>
      <c r="U58" s="129" t="s">
        <v>614</v>
      </c>
      <c r="W58" s="132">
        <v>42713</v>
      </c>
      <c r="X58" s="10">
        <v>49.89</v>
      </c>
      <c r="Y58" s="10">
        <v>50.68</v>
      </c>
      <c r="Z58" s="10">
        <v>49.22</v>
      </c>
      <c r="AA58" s="10">
        <v>49.79</v>
      </c>
      <c r="AB58" s="94">
        <v>6676600</v>
      </c>
      <c r="AC58" s="10">
        <v>49.79</v>
      </c>
      <c r="AD58">
        <f t="shared" si="0"/>
        <v>1.4600000000000009</v>
      </c>
      <c r="AE58" s="137">
        <f t="shared" si="1"/>
        <v>3.8306451612901693E-3</v>
      </c>
    </row>
    <row r="59" spans="1:31" x14ac:dyDescent="0.25">
      <c r="A59" s="378"/>
      <c r="B59" s="377">
        <v>42572</v>
      </c>
      <c r="C59" s="378">
        <v>40</v>
      </c>
      <c r="D59" s="379">
        <v>37.58</v>
      </c>
      <c r="E59" s="379">
        <v>0</v>
      </c>
      <c r="F59" s="379">
        <f>C59*D59+E59</f>
        <v>1503.1999999999998</v>
      </c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6"/>
        <v>51.409600000000005</v>
      </c>
      <c r="W59" s="132">
        <v>42712</v>
      </c>
      <c r="X59" s="10">
        <v>49.98</v>
      </c>
      <c r="Y59" s="10">
        <v>49.98</v>
      </c>
      <c r="Z59" s="10">
        <v>49.24</v>
      </c>
      <c r="AA59" s="10">
        <v>49.6</v>
      </c>
      <c r="AB59" s="94">
        <v>6641500</v>
      </c>
      <c r="AC59" s="10">
        <v>49.6</v>
      </c>
      <c r="AD59">
        <f t="shared" si="0"/>
        <v>0.73999999999999488</v>
      </c>
      <c r="AE59" s="137">
        <f t="shared" si="1"/>
        <v>-5.015045135406182E-3</v>
      </c>
    </row>
    <row r="60" spans="1:31" x14ac:dyDescent="0.25">
      <c r="A60" s="378"/>
      <c r="B60" s="377">
        <v>42576</v>
      </c>
      <c r="C60" s="378">
        <v>30</v>
      </c>
      <c r="D60" s="379">
        <v>37.15</v>
      </c>
      <c r="E60" s="379">
        <v>0</v>
      </c>
      <c r="F60" s="379">
        <f>C60*D60+E60</f>
        <v>1114.5</v>
      </c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6"/>
        <v>50.850800000000007</v>
      </c>
      <c r="W60" s="132">
        <v>42711</v>
      </c>
      <c r="X60" s="10">
        <v>47.71</v>
      </c>
      <c r="Y60" s="10">
        <v>49.88</v>
      </c>
      <c r="Z60" s="10">
        <v>47.4</v>
      </c>
      <c r="AA60" s="10">
        <v>49.85</v>
      </c>
      <c r="AB60" s="94">
        <v>7534300</v>
      </c>
      <c r="AC60" s="10">
        <v>49.85</v>
      </c>
      <c r="AD60">
        <f t="shared" si="0"/>
        <v>2.480000000000004</v>
      </c>
      <c r="AE60" s="137">
        <f t="shared" si="1"/>
        <v>4.5511744966443057E-2</v>
      </c>
    </row>
    <row r="61" spans="1:31" x14ac:dyDescent="0.25">
      <c r="A61" s="378"/>
      <c r="B61" s="377">
        <v>42594</v>
      </c>
      <c r="C61" s="378">
        <v>30</v>
      </c>
      <c r="D61" s="379">
        <v>36.58</v>
      </c>
      <c r="E61" s="379">
        <v>0</v>
      </c>
      <c r="F61" s="379">
        <f>C61*D61+E61</f>
        <v>1097.3999999999999</v>
      </c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6"/>
        <v>50.292000000000002</v>
      </c>
      <c r="W61" s="132">
        <v>42710</v>
      </c>
      <c r="X61" s="10">
        <v>47.39</v>
      </c>
      <c r="Y61" s="10">
        <v>47.9</v>
      </c>
      <c r="Z61" s="10">
        <v>47.16</v>
      </c>
      <c r="AA61" s="10">
        <v>47.68</v>
      </c>
      <c r="AB61" s="94">
        <v>4548300</v>
      </c>
      <c r="AC61" s="10">
        <v>47.68</v>
      </c>
      <c r="AD61">
        <f t="shared" si="0"/>
        <v>0.74000000000000199</v>
      </c>
      <c r="AE61" s="137" t="e">
        <f t="shared" si="1"/>
        <v>#DIV/0!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42710</v>
      </c>
      <c r="X62" s="10" t="s">
        <v>330</v>
      </c>
      <c r="Y62" s="10"/>
      <c r="Z62" s="10"/>
      <c r="AA62" s="10"/>
      <c r="AB62" s="94"/>
      <c r="AC62" s="10"/>
      <c r="AD62">
        <f t="shared" si="0"/>
        <v>0</v>
      </c>
      <c r="AE62" s="137">
        <f t="shared" si="1"/>
        <v>-1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42709</v>
      </c>
      <c r="X63" s="10">
        <v>48.08</v>
      </c>
      <c r="Y63" s="10">
        <v>48.46</v>
      </c>
      <c r="Z63" s="10">
        <v>47.04</v>
      </c>
      <c r="AA63" s="10">
        <v>47.07</v>
      </c>
      <c r="AB63" s="94">
        <v>4734200</v>
      </c>
      <c r="AC63" s="10">
        <v>46.97</v>
      </c>
      <c r="AD63">
        <f t="shared" si="0"/>
        <v>1.4200000000000017</v>
      </c>
      <c r="AE63" s="137">
        <f t="shared" si="1"/>
        <v>-1.7569546120058677E-2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42706</v>
      </c>
      <c r="X64" s="10">
        <v>47.37</v>
      </c>
      <c r="Y64" s="10">
        <v>48.24</v>
      </c>
      <c r="Z64" s="10">
        <v>47.3</v>
      </c>
      <c r="AA64" s="10">
        <v>47.91</v>
      </c>
      <c r="AB64" s="94">
        <v>4843600</v>
      </c>
      <c r="AC64" s="10">
        <v>47.81</v>
      </c>
      <c r="AD64">
        <f t="shared" si="0"/>
        <v>0.94000000000000483</v>
      </c>
      <c r="AE64" s="137">
        <f t="shared" si="1"/>
        <v>1.7883755588673722E-2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82"/>
      <c r="I65" s="379"/>
      <c r="J65" s="379"/>
      <c r="K65" s="379"/>
      <c r="L65" s="378"/>
      <c r="M65" s="378"/>
      <c r="W65" s="132">
        <v>42705</v>
      </c>
      <c r="X65" s="10">
        <v>46.36</v>
      </c>
      <c r="Y65" s="10">
        <v>47.44</v>
      </c>
      <c r="Z65" s="10">
        <v>46.19</v>
      </c>
      <c r="AA65" s="10">
        <v>47.07</v>
      </c>
      <c r="AB65" s="94">
        <v>5594800</v>
      </c>
      <c r="AC65" s="10">
        <v>46.97</v>
      </c>
      <c r="AD65">
        <f t="shared" si="0"/>
        <v>1.25</v>
      </c>
      <c r="AE65" s="137">
        <f t="shared" si="1"/>
        <v>9.890346162115593E-3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42704</v>
      </c>
      <c r="X66" s="10">
        <v>46.1</v>
      </c>
      <c r="Y66" s="10">
        <v>47.33</v>
      </c>
      <c r="Z66" s="10">
        <v>44.7</v>
      </c>
      <c r="AA66" s="10">
        <v>46.61</v>
      </c>
      <c r="AB66" s="94">
        <v>6640900</v>
      </c>
      <c r="AC66" s="10">
        <v>46.51</v>
      </c>
      <c r="AD66">
        <f t="shared" si="0"/>
        <v>2.6299999999999955</v>
      </c>
      <c r="AE66" s="137">
        <f t="shared" si="1"/>
        <v>-1.3364446330080715E-2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42703</v>
      </c>
      <c r="X67" s="10">
        <v>47.56</v>
      </c>
      <c r="Y67" s="10">
        <v>47.83</v>
      </c>
      <c r="Z67" s="10">
        <v>47.21</v>
      </c>
      <c r="AA67" s="10">
        <v>47.24</v>
      </c>
      <c r="AB67" s="94">
        <v>4453400</v>
      </c>
      <c r="AC67" s="10">
        <v>47.14</v>
      </c>
      <c r="AD67">
        <f t="shared" si="0"/>
        <v>0.61999999999999744</v>
      </c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42702</v>
      </c>
      <c r="X68" s="10">
        <v>47.41</v>
      </c>
      <c r="Y68" s="10">
        <v>47.77</v>
      </c>
      <c r="Z68" s="10">
        <v>47.15</v>
      </c>
      <c r="AA68" s="10">
        <v>47.52</v>
      </c>
      <c r="AB68" s="94">
        <v>4230900</v>
      </c>
      <c r="AC68" s="10">
        <v>47.42</v>
      </c>
      <c r="AD68" t="e">
        <f>#REF!-#REF!</f>
        <v>#REF!</v>
      </c>
      <c r="AE68" s="137" t="e">
        <f>#REF!/AC69-1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78"/>
      <c r="I72" s="379"/>
      <c r="J72" s="379"/>
      <c r="K72" s="379"/>
      <c r="L72" s="378"/>
      <c r="M72" s="378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13" priority="15">
      <formula>F39&gt;0</formula>
    </cfRule>
    <cfRule type="expression" dxfId="1012" priority="16">
      <formula>F39&lt;0</formula>
    </cfRule>
  </conditionalFormatting>
  <conditionalFormatting sqref="Q7">
    <cfRule type="expression" dxfId="1011" priority="13">
      <formula>Q7&gt;0</formula>
    </cfRule>
    <cfRule type="expression" dxfId="1010" priority="14">
      <formula>Q7&lt;0</formula>
    </cfRule>
  </conditionalFormatting>
  <conditionalFormatting sqref="Q8">
    <cfRule type="expression" dxfId="1009" priority="11">
      <formula>Q8&gt;0</formula>
    </cfRule>
    <cfRule type="expression" dxfId="1008" priority="12">
      <formula>Q8&lt;0</formula>
    </cfRule>
  </conditionalFormatting>
  <conditionalFormatting sqref="F25:F38">
    <cfRule type="expression" dxfId="1007" priority="9">
      <formula>F25&gt;0</formula>
    </cfRule>
    <cfRule type="expression" dxfId="1006" priority="10">
      <formula>F25&lt;0</formula>
    </cfRule>
  </conditionalFormatting>
  <conditionalFormatting sqref="H25:H38">
    <cfRule type="expression" dxfId="1005" priority="7">
      <formula>H25&gt;0</formula>
    </cfRule>
    <cfRule type="expression" dxfId="100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03" priority="3">
      <formula>M55&gt;0</formula>
    </cfRule>
    <cfRule type="expression" dxfId="1002" priority="4">
      <formula>M55&lt;0</formula>
    </cfRule>
  </conditionalFormatting>
  <conditionalFormatting sqref="Q10">
    <cfRule type="expression" dxfId="1001" priority="1">
      <formula>Q10&gt;0</formula>
    </cfRule>
    <cfRule type="expression" dxfId="100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335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42797</v>
      </c>
      <c r="X2" s="9">
        <v>34.51</v>
      </c>
      <c r="Y2" s="9">
        <v>35.19</v>
      </c>
      <c r="Z2" s="9">
        <v>34.36</v>
      </c>
      <c r="AA2" s="9">
        <v>35.130000000000003</v>
      </c>
      <c r="AB2" s="103">
        <v>869400</v>
      </c>
      <c r="AC2" s="9">
        <v>35.130000000000003</v>
      </c>
      <c r="AD2" s="40">
        <f>Y2-Z2</f>
        <v>0.82999999999999829</v>
      </c>
      <c r="AE2" s="161">
        <f>AC2/AC3-1</f>
        <v>1.5317919075144459E-2</v>
      </c>
    </row>
    <row r="3" spans="1:31" x14ac:dyDescent="0.25">
      <c r="A3" s="23" t="s">
        <v>71</v>
      </c>
      <c r="G3" s="73"/>
      <c r="H3" s="184"/>
      <c r="I3" s="3"/>
      <c r="J3" s="3"/>
      <c r="K3" s="3"/>
      <c r="O3" s="11" t="s">
        <v>58</v>
      </c>
      <c r="Q3" s="490">
        <f>IF(Q2=0, Q4, (F18-K18-M18)/Q2)</f>
        <v>35.68</v>
      </c>
      <c r="T3" s="1"/>
      <c r="W3" s="109">
        <v>42796</v>
      </c>
      <c r="X3" s="9">
        <v>34.5</v>
      </c>
      <c r="Y3" s="9">
        <v>34.81</v>
      </c>
      <c r="Z3" s="9">
        <v>34.409999999999997</v>
      </c>
      <c r="AA3" s="9">
        <v>34.6</v>
      </c>
      <c r="AB3" s="103">
        <v>985800</v>
      </c>
      <c r="AC3" s="9">
        <v>34.6</v>
      </c>
      <c r="AD3" s="40">
        <f t="shared" ref="AD3:AD66" si="0">Y3-Z3</f>
        <v>0.40000000000000568</v>
      </c>
      <c r="AE3" s="161">
        <f t="shared" ref="AE3:AE66" si="1">AC3/AC4-1</f>
        <v>3.1893302406493795E-3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35.68</v>
      </c>
      <c r="R4" s="499">
        <v>8.9999999999999993E-3</v>
      </c>
      <c r="T4" s="162"/>
      <c r="W4" s="109">
        <v>42795</v>
      </c>
      <c r="X4" s="9">
        <v>34.75</v>
      </c>
      <c r="Y4" s="9">
        <v>35.119999999999997</v>
      </c>
      <c r="Z4" s="9">
        <v>34.42</v>
      </c>
      <c r="AA4" s="9">
        <v>34.49</v>
      </c>
      <c r="AB4" s="103">
        <v>1355800</v>
      </c>
      <c r="AC4" s="9">
        <v>34.49</v>
      </c>
      <c r="AD4" s="40">
        <f t="shared" si="0"/>
        <v>0.69999999999999574</v>
      </c>
      <c r="AE4" s="161">
        <f t="shared" si="1"/>
        <v>-5.7653502450272232E-3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109">
        <v>42794</v>
      </c>
      <c r="X5" s="9">
        <v>34.770000000000003</v>
      </c>
      <c r="Y5" s="9">
        <v>35.18</v>
      </c>
      <c r="Z5" s="9">
        <v>34.65</v>
      </c>
      <c r="AA5" s="9">
        <v>34.69</v>
      </c>
      <c r="AB5" s="103">
        <v>1075400</v>
      </c>
      <c r="AC5" s="9">
        <v>34.69</v>
      </c>
      <c r="AD5" s="40">
        <f t="shared" si="0"/>
        <v>0.53000000000000114</v>
      </c>
      <c r="AE5" s="161">
        <f t="shared" si="1"/>
        <v>-8.8571428571428967E-3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O6" s="11" t="s">
        <v>64</v>
      </c>
      <c r="Q6" s="2">
        <f>Q3*Q2</f>
        <v>0</v>
      </c>
      <c r="W6" s="109">
        <v>42793</v>
      </c>
      <c r="X6" s="9">
        <v>34.94</v>
      </c>
      <c r="Y6" s="9">
        <v>35.1</v>
      </c>
      <c r="Z6" s="9">
        <v>34.79</v>
      </c>
      <c r="AA6" s="9">
        <v>35</v>
      </c>
      <c r="AB6" s="103">
        <v>638300</v>
      </c>
      <c r="AC6" s="9">
        <v>35</v>
      </c>
      <c r="AD6" s="40">
        <f t="shared" si="0"/>
        <v>0.31000000000000227</v>
      </c>
      <c r="AE6" s="161">
        <f t="shared" si="1"/>
        <v>1.4306151645206988E-3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42790</v>
      </c>
      <c r="X7" s="9">
        <v>35.28</v>
      </c>
      <c r="Y7" s="9">
        <v>35.28</v>
      </c>
      <c r="Z7" s="9">
        <v>34.68</v>
      </c>
      <c r="AA7" s="9">
        <v>34.950000000000003</v>
      </c>
      <c r="AB7" s="103">
        <v>1052800</v>
      </c>
      <c r="AC7" s="9">
        <v>34.950000000000003</v>
      </c>
      <c r="AD7" s="40">
        <f t="shared" si="0"/>
        <v>0.60000000000000142</v>
      </c>
      <c r="AE7" s="161">
        <f t="shared" si="1"/>
        <v>-1.8258426966292096E-2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42789</v>
      </c>
      <c r="X8" s="9">
        <v>35.630000000000003</v>
      </c>
      <c r="Y8" s="9">
        <v>35.99</v>
      </c>
      <c r="Z8" s="9">
        <v>35.51</v>
      </c>
      <c r="AA8" s="9">
        <v>35.6</v>
      </c>
      <c r="AB8" s="103">
        <v>778100</v>
      </c>
      <c r="AC8" s="9">
        <v>35.6</v>
      </c>
      <c r="AD8" s="40">
        <f t="shared" si="0"/>
        <v>0.48000000000000398</v>
      </c>
      <c r="AE8" s="161">
        <f t="shared" si="1"/>
        <v>2.8097780275349038E-4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0</v>
      </c>
      <c r="W9" s="109">
        <v>42788</v>
      </c>
      <c r="X9" s="9">
        <v>35.43</v>
      </c>
      <c r="Y9" s="9">
        <v>35.700000000000003</v>
      </c>
      <c r="Z9" s="9">
        <v>35.26</v>
      </c>
      <c r="AA9" s="9">
        <v>35.590000000000003</v>
      </c>
      <c r="AB9" s="103">
        <v>537800</v>
      </c>
      <c r="AC9" s="9">
        <v>35.590000000000003</v>
      </c>
      <c r="AD9" s="40">
        <f t="shared" si="0"/>
        <v>0.44000000000000483</v>
      </c>
      <c r="AE9" s="161">
        <f t="shared" si="1"/>
        <v>5.6513139304890103E-3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42787</v>
      </c>
      <c r="X10" s="9">
        <v>35.35</v>
      </c>
      <c r="Y10" s="9">
        <v>35.47</v>
      </c>
      <c r="Z10" s="9">
        <v>35.22</v>
      </c>
      <c r="AA10" s="9">
        <v>35.39</v>
      </c>
      <c r="AB10" s="103">
        <v>1530300</v>
      </c>
      <c r="AC10" s="9">
        <v>35.39</v>
      </c>
      <c r="AD10" s="40">
        <f t="shared" si="0"/>
        <v>0.25</v>
      </c>
      <c r="AE10" s="161">
        <f t="shared" si="1"/>
        <v>-2.8248587570611772E-4</v>
      </c>
    </row>
    <row r="11" spans="1:31" x14ac:dyDescent="0.25">
      <c r="O11" s="11" t="s">
        <v>178</v>
      </c>
      <c r="P11" s="34"/>
      <c r="Q11" s="137">
        <f>VALUE(TRIM(CLEAN(MID(U58, FIND("(", U58)+1, 5))))</f>
        <v>3.4200000000000001E-2</v>
      </c>
      <c r="W11" s="109">
        <v>42783</v>
      </c>
      <c r="X11" s="9">
        <v>35.53</v>
      </c>
      <c r="Y11" s="9">
        <v>35.770000000000003</v>
      </c>
      <c r="Z11" s="9">
        <v>35.380000000000003</v>
      </c>
      <c r="AA11" s="9">
        <v>35.4</v>
      </c>
      <c r="AB11" s="103">
        <v>1090200</v>
      </c>
      <c r="AC11" s="9">
        <v>35.4</v>
      </c>
      <c r="AD11" s="40">
        <f t="shared" si="0"/>
        <v>0.39000000000000057</v>
      </c>
      <c r="AE11" s="161">
        <f t="shared" si="1"/>
        <v>-1.4104372355431272E-3</v>
      </c>
    </row>
    <row r="12" spans="1:31" x14ac:dyDescent="0.25">
      <c r="W12" s="109">
        <v>42782</v>
      </c>
      <c r="X12" s="9">
        <v>35.36</v>
      </c>
      <c r="Y12" s="9">
        <v>35.5</v>
      </c>
      <c r="Z12" s="9">
        <v>35.14</v>
      </c>
      <c r="AA12" s="9">
        <v>35.450000000000003</v>
      </c>
      <c r="AB12" s="103">
        <v>980300</v>
      </c>
      <c r="AC12" s="9">
        <v>35.450000000000003</v>
      </c>
      <c r="AD12" s="40">
        <f t="shared" si="0"/>
        <v>0.35999999999999943</v>
      </c>
      <c r="AE12" s="161">
        <f t="shared" si="1"/>
        <v>-2.8200789622101485E-4</v>
      </c>
    </row>
    <row r="13" spans="1:31" x14ac:dyDescent="0.25">
      <c r="W13" s="109">
        <v>42781</v>
      </c>
      <c r="X13" s="9">
        <v>34.799999999999997</v>
      </c>
      <c r="Y13" s="9">
        <v>35.5</v>
      </c>
      <c r="Z13" s="9">
        <v>34.78</v>
      </c>
      <c r="AA13" s="9">
        <v>35.46</v>
      </c>
      <c r="AB13" s="103">
        <v>1306900</v>
      </c>
      <c r="AC13" s="9">
        <v>35.46</v>
      </c>
      <c r="AD13" s="40">
        <f t="shared" si="0"/>
        <v>0.71999999999999886</v>
      </c>
      <c r="AE13" s="161">
        <f t="shared" si="1"/>
        <v>1.0544314619549633E-2</v>
      </c>
    </row>
    <row r="14" spans="1:31" x14ac:dyDescent="0.25">
      <c r="W14" s="109">
        <v>42780</v>
      </c>
      <c r="X14" s="9">
        <v>35.11</v>
      </c>
      <c r="Y14" s="9">
        <v>35.15</v>
      </c>
      <c r="Z14" s="9">
        <v>34.840000000000003</v>
      </c>
      <c r="AA14" s="9">
        <v>35.090000000000003</v>
      </c>
      <c r="AB14" s="103">
        <v>853100</v>
      </c>
      <c r="AC14" s="9">
        <v>35.090000000000003</v>
      </c>
      <c r="AD14" s="40">
        <f t="shared" si="0"/>
        <v>0.30999999999999517</v>
      </c>
      <c r="AE14" s="161">
        <f t="shared" si="1"/>
        <v>-3.1249999999999334E-3</v>
      </c>
    </row>
    <row r="15" spans="1:31" x14ac:dyDescent="0.25">
      <c r="W15" s="109">
        <v>42779</v>
      </c>
      <c r="X15" s="9">
        <v>35.229999999999997</v>
      </c>
      <c r="Y15" s="9">
        <v>35.42</v>
      </c>
      <c r="Z15" s="9">
        <v>35.090000000000003</v>
      </c>
      <c r="AA15" s="9">
        <v>35.200000000000003</v>
      </c>
      <c r="AB15" s="103">
        <v>731100</v>
      </c>
      <c r="AC15" s="9">
        <v>35.200000000000003</v>
      </c>
      <c r="AD15" s="40">
        <f t="shared" si="0"/>
        <v>0.32999999999999829</v>
      </c>
      <c r="AE15" s="161">
        <f t="shared" si="1"/>
        <v>4.8529831572938775E-3</v>
      </c>
    </row>
    <row r="16" spans="1:31" x14ac:dyDescent="0.25">
      <c r="W16" s="109">
        <v>42776</v>
      </c>
      <c r="X16" s="9">
        <v>35.01</v>
      </c>
      <c r="Y16" s="9">
        <v>35.11</v>
      </c>
      <c r="Z16" s="9">
        <v>34.86</v>
      </c>
      <c r="AA16" s="9">
        <v>35.03</v>
      </c>
      <c r="AB16" s="103">
        <v>2010700</v>
      </c>
      <c r="AC16" s="9">
        <v>35.03</v>
      </c>
      <c r="AD16" s="40">
        <f t="shared" si="0"/>
        <v>0.25</v>
      </c>
      <c r="AE16" s="161">
        <f t="shared" si="1"/>
        <v>-3.6973833902160802E-3</v>
      </c>
    </row>
    <row r="17" spans="1:31" x14ac:dyDescent="0.25">
      <c r="H17" s="71"/>
      <c r="W17" s="109">
        <v>42775</v>
      </c>
      <c r="X17" s="9">
        <v>35.65</v>
      </c>
      <c r="Y17" s="9">
        <v>35.700000000000003</v>
      </c>
      <c r="Z17" s="9">
        <v>35.06</v>
      </c>
      <c r="AA17" s="9">
        <v>35.159999999999997</v>
      </c>
      <c r="AB17" s="103">
        <v>1702500</v>
      </c>
      <c r="AC17" s="9">
        <v>35.159999999999997</v>
      </c>
      <c r="AD17" s="40">
        <f t="shared" si="0"/>
        <v>0.64000000000000057</v>
      </c>
      <c r="AE17" s="161">
        <f t="shared" si="1"/>
        <v>-1.3744740532959376E-2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42774</v>
      </c>
      <c r="X18" s="9">
        <v>35.270000000000003</v>
      </c>
      <c r="Y18" s="9">
        <v>35.700000000000003</v>
      </c>
      <c r="Z18" s="9">
        <v>35.22</v>
      </c>
      <c r="AA18" s="9">
        <v>35.65</v>
      </c>
      <c r="AB18" s="103">
        <v>1808600</v>
      </c>
      <c r="AC18" s="9">
        <v>35.65</v>
      </c>
      <c r="AD18" s="40">
        <f t="shared" si="0"/>
        <v>0.48000000000000398</v>
      </c>
      <c r="AE18" s="161">
        <f t="shared" si="1"/>
        <v>9.0574582507783052E-3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582">
        <f>SumByColor($A$19,M2:M17)</f>
        <v>0</v>
      </c>
      <c r="W19" s="109">
        <v>42773</v>
      </c>
      <c r="X19" s="9">
        <v>34.96</v>
      </c>
      <c r="Y19" s="9">
        <v>35.39</v>
      </c>
      <c r="Z19" s="9">
        <v>34.96</v>
      </c>
      <c r="AA19" s="9">
        <v>35.33</v>
      </c>
      <c r="AB19" s="103">
        <v>2441100</v>
      </c>
      <c r="AC19" s="9">
        <v>35.33</v>
      </c>
      <c r="AD19" s="40">
        <f t="shared" si="0"/>
        <v>0.42999999999999972</v>
      </c>
      <c r="AE19" s="161">
        <f t="shared" si="1"/>
        <v>5.9794988610477606E-3</v>
      </c>
    </row>
    <row r="20" spans="1:31" x14ac:dyDescent="0.25">
      <c r="W20" s="109">
        <v>42772</v>
      </c>
      <c r="X20" s="9">
        <v>34.79</v>
      </c>
      <c r="Y20" s="9">
        <v>35.21</v>
      </c>
      <c r="Z20" s="9">
        <v>34.71</v>
      </c>
      <c r="AA20" s="9">
        <v>35.119999999999997</v>
      </c>
      <c r="AB20" s="103">
        <v>888300</v>
      </c>
      <c r="AC20" s="9">
        <v>35.119999999999997</v>
      </c>
      <c r="AD20" s="40">
        <f t="shared" si="0"/>
        <v>0.5</v>
      </c>
      <c r="AE20" s="161">
        <f t="shared" si="1"/>
        <v>8.3261556129772263E-3</v>
      </c>
    </row>
    <row r="21" spans="1:31" x14ac:dyDescent="0.25">
      <c r="B21" s="511" t="s">
        <v>114</v>
      </c>
      <c r="C21" s="511" t="s">
        <v>147</v>
      </c>
      <c r="D21" s="512" t="s">
        <v>146</v>
      </c>
      <c r="E21" s="513" t="s">
        <v>148</v>
      </c>
      <c r="F21" s="514" t="s">
        <v>65</v>
      </c>
      <c r="G21" s="515" t="s">
        <v>152</v>
      </c>
      <c r="H21" s="514" t="s">
        <v>88</v>
      </c>
      <c r="I21" s="515" t="s">
        <v>155</v>
      </c>
      <c r="W21" s="109">
        <v>42769</v>
      </c>
      <c r="X21" s="9">
        <v>35.03</v>
      </c>
      <c r="Y21" s="9">
        <v>35.1</v>
      </c>
      <c r="Z21" s="9">
        <v>34.79</v>
      </c>
      <c r="AA21" s="9">
        <v>34.83</v>
      </c>
      <c r="AB21" s="103">
        <v>616800</v>
      </c>
      <c r="AC21" s="9">
        <v>34.83</v>
      </c>
      <c r="AD21" s="40">
        <f t="shared" si="0"/>
        <v>0.31000000000000227</v>
      </c>
      <c r="AE21" s="161">
        <f t="shared" si="1"/>
        <v>-3.4334763948499214E-3</v>
      </c>
    </row>
    <row r="22" spans="1:31" x14ac:dyDescent="0.25">
      <c r="A22" t="s">
        <v>389</v>
      </c>
      <c r="B22" s="192">
        <v>42754</v>
      </c>
      <c r="C22" s="10">
        <v>50</v>
      </c>
      <c r="D22" s="201">
        <v>31.18</v>
      </c>
      <c r="E22" s="40">
        <v>33.86</v>
      </c>
      <c r="F22" s="235">
        <f>C22*(E22-D22)</f>
        <v>134</v>
      </c>
      <c r="G22" s="40">
        <f>D22*C22</f>
        <v>1559</v>
      </c>
      <c r="H22" s="231">
        <f>(E22-D22)/D22</f>
        <v>8.5952533675432957E-2</v>
      </c>
      <c r="I22" s="40"/>
      <c r="W22" s="109">
        <v>42768</v>
      </c>
      <c r="X22" s="9">
        <v>34.75</v>
      </c>
      <c r="Y22" s="9">
        <v>35.11</v>
      </c>
      <c r="Z22" s="9">
        <v>34.67</v>
      </c>
      <c r="AA22" s="9">
        <v>34.950000000000003</v>
      </c>
      <c r="AB22" s="103">
        <v>1082700</v>
      </c>
      <c r="AC22" s="9">
        <v>34.950000000000003</v>
      </c>
      <c r="AD22" s="40">
        <f t="shared" si="0"/>
        <v>0.43999999999999773</v>
      </c>
      <c r="AE22" s="161">
        <f t="shared" si="1"/>
        <v>6.044905008635526E-3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42767</v>
      </c>
      <c r="X23" s="9">
        <v>34.590000000000003</v>
      </c>
      <c r="Y23" s="9">
        <v>34.93</v>
      </c>
      <c r="Z23" s="9">
        <v>34.28</v>
      </c>
      <c r="AA23" s="9">
        <v>34.74</v>
      </c>
      <c r="AB23" s="103">
        <v>1052200</v>
      </c>
      <c r="AC23" s="9">
        <v>34.74</v>
      </c>
      <c r="AD23" s="40">
        <f t="shared" si="0"/>
        <v>0.64999999999999858</v>
      </c>
      <c r="AE23" s="161">
        <f t="shared" si="1"/>
        <v>6.0816681146829144E-3</v>
      </c>
    </row>
    <row r="24" spans="1:31" x14ac:dyDescent="0.25">
      <c r="B24" s="192"/>
      <c r="C24" s="10"/>
      <c r="D24" s="201"/>
      <c r="E24" s="40"/>
      <c r="F24" s="235"/>
      <c r="G24" s="40"/>
      <c r="H24" s="231"/>
      <c r="I24" s="40"/>
      <c r="W24" s="109">
        <v>42766</v>
      </c>
      <c r="X24" s="9">
        <v>34.520000000000003</v>
      </c>
      <c r="Y24" s="9">
        <v>34.65</v>
      </c>
      <c r="Z24" s="9">
        <v>34.130000000000003</v>
      </c>
      <c r="AA24" s="9">
        <v>34.53</v>
      </c>
      <c r="AB24" s="103">
        <v>1470300</v>
      </c>
      <c r="AC24" s="9">
        <v>34.53</v>
      </c>
      <c r="AD24" s="40">
        <f t="shared" si="0"/>
        <v>0.51999999999999602</v>
      </c>
      <c r="AE24" s="161">
        <f t="shared" si="1"/>
        <v>1.1719894520949348E-2</v>
      </c>
    </row>
    <row r="25" spans="1:31" x14ac:dyDescent="0.25">
      <c r="B25" s="192"/>
      <c r="C25" s="10"/>
      <c r="D25" s="201"/>
      <c r="E25" s="40"/>
      <c r="F25" s="235"/>
      <c r="G25" s="40"/>
      <c r="H25" s="231"/>
      <c r="I25" s="40"/>
      <c r="W25" s="109">
        <v>42765</v>
      </c>
      <c r="X25" s="9">
        <v>34.1</v>
      </c>
      <c r="Y25" s="9">
        <v>34.270000000000003</v>
      </c>
      <c r="Z25" s="9">
        <v>33.89</v>
      </c>
      <c r="AA25" s="9">
        <v>34.130000000000003</v>
      </c>
      <c r="AB25" s="103">
        <v>1123400</v>
      </c>
      <c r="AC25" s="9">
        <v>34.130000000000003</v>
      </c>
      <c r="AD25" s="40">
        <f t="shared" si="0"/>
        <v>0.38000000000000256</v>
      </c>
      <c r="AE25" s="161">
        <f t="shared" si="1"/>
        <v>-5.8258083309057351E-3</v>
      </c>
    </row>
    <row r="26" spans="1:31" x14ac:dyDescent="0.25">
      <c r="B26" s="192"/>
      <c r="C26" s="10"/>
      <c r="D26" s="201"/>
      <c r="E26" s="40"/>
      <c r="F26" s="235"/>
      <c r="G26" s="40"/>
      <c r="H26" s="231"/>
      <c r="I26" s="40"/>
      <c r="W26" s="109">
        <v>42762</v>
      </c>
      <c r="X26" s="9">
        <v>34.57</v>
      </c>
      <c r="Y26" s="9">
        <v>34.69</v>
      </c>
      <c r="Z26" s="9">
        <v>34.28</v>
      </c>
      <c r="AA26" s="9">
        <v>34.33</v>
      </c>
      <c r="AB26" s="103">
        <v>921700</v>
      </c>
      <c r="AC26" s="9">
        <v>34.33</v>
      </c>
      <c r="AD26" s="40">
        <f t="shared" si="0"/>
        <v>0.40999999999999659</v>
      </c>
      <c r="AE26" s="161">
        <f t="shared" si="1"/>
        <v>-2.9044437990125571E-3</v>
      </c>
    </row>
    <row r="27" spans="1:31" x14ac:dyDescent="0.25">
      <c r="B27" s="192"/>
      <c r="C27" s="10"/>
      <c r="D27" s="201"/>
      <c r="E27" s="40"/>
      <c r="F27" s="235"/>
      <c r="G27" s="40"/>
      <c r="H27" s="231"/>
      <c r="I27" s="40"/>
      <c r="W27" s="109">
        <v>42761</v>
      </c>
      <c r="X27" s="9">
        <v>34.770000000000003</v>
      </c>
      <c r="Y27" s="9">
        <v>34.950000000000003</v>
      </c>
      <c r="Z27" s="9">
        <v>34.39</v>
      </c>
      <c r="AA27" s="9">
        <v>34.43</v>
      </c>
      <c r="AB27" s="103">
        <v>1378000</v>
      </c>
      <c r="AC27" s="9">
        <v>34.43</v>
      </c>
      <c r="AD27" s="40">
        <f t="shared" si="0"/>
        <v>0.56000000000000227</v>
      </c>
      <c r="AE27" s="161">
        <f t="shared" si="1"/>
        <v>-1.0916403332375868E-2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W28" s="109">
        <v>42760</v>
      </c>
      <c r="X28" s="9">
        <v>34.58</v>
      </c>
      <c r="Y28" s="9">
        <v>34.880000000000003</v>
      </c>
      <c r="Z28" s="9">
        <v>34.5</v>
      </c>
      <c r="AA28" s="9">
        <v>34.81</v>
      </c>
      <c r="AB28" s="103">
        <v>2817300</v>
      </c>
      <c r="AC28" s="9">
        <v>34.81</v>
      </c>
      <c r="AD28" s="40">
        <f t="shared" si="0"/>
        <v>0.38000000000000256</v>
      </c>
      <c r="AE28" s="161">
        <f t="shared" si="1"/>
        <v>7.5253256150507042E-3</v>
      </c>
    </row>
    <row r="29" spans="1:31" x14ac:dyDescent="0.25">
      <c r="B29" s="192"/>
      <c r="C29" s="10"/>
      <c r="D29" s="201"/>
      <c r="E29" s="40"/>
      <c r="F29" s="235"/>
      <c r="G29" s="40"/>
      <c r="H29" s="231"/>
      <c r="I29" s="40"/>
      <c r="W29" s="109">
        <v>42759</v>
      </c>
      <c r="X29" s="9">
        <v>34.36</v>
      </c>
      <c r="Y29" s="9">
        <v>35.06</v>
      </c>
      <c r="Z29" s="9">
        <v>34.229999999999997</v>
      </c>
      <c r="AA29" s="9">
        <v>34.549999999999997</v>
      </c>
      <c r="AB29" s="103">
        <v>2927000</v>
      </c>
      <c r="AC29" s="9">
        <v>34.549999999999997</v>
      </c>
      <c r="AD29" s="40">
        <f t="shared" si="0"/>
        <v>0.8300000000000054</v>
      </c>
      <c r="AE29" s="161">
        <f t="shared" si="1"/>
        <v>8.7591240875910525E-3</v>
      </c>
    </row>
    <row r="30" spans="1:31" x14ac:dyDescent="0.25">
      <c r="B30" s="192"/>
      <c r="C30" s="10"/>
      <c r="D30" s="201"/>
      <c r="E30" s="40"/>
      <c r="F30" s="235"/>
      <c r="G30" s="40"/>
      <c r="H30" s="231"/>
      <c r="I30" s="40"/>
      <c r="W30" s="109">
        <v>42758</v>
      </c>
      <c r="X30" s="9">
        <v>34.03</v>
      </c>
      <c r="Y30" s="9">
        <v>34.270000000000003</v>
      </c>
      <c r="Z30" s="9">
        <v>33.92</v>
      </c>
      <c r="AA30" s="9">
        <v>34.25</v>
      </c>
      <c r="AB30" s="103">
        <v>1454400</v>
      </c>
      <c r="AC30" s="9">
        <v>34.25</v>
      </c>
      <c r="AD30" s="40">
        <f t="shared" si="0"/>
        <v>0.35000000000000142</v>
      </c>
      <c r="AE30" s="161">
        <f t="shared" si="1"/>
        <v>6.4648839259475732E-3</v>
      </c>
    </row>
    <row r="31" spans="1:31" x14ac:dyDescent="0.25">
      <c r="B31" s="192"/>
      <c r="C31" s="10"/>
      <c r="D31" s="201"/>
      <c r="E31" s="40"/>
      <c r="F31" s="235"/>
      <c r="G31" s="40"/>
      <c r="H31" s="231"/>
      <c r="I31" s="40"/>
      <c r="W31" s="109">
        <v>42755</v>
      </c>
      <c r="X31" s="9">
        <v>34.01</v>
      </c>
      <c r="Y31" s="9">
        <v>34.11</v>
      </c>
      <c r="Z31" s="9">
        <v>33.69</v>
      </c>
      <c r="AA31" s="9">
        <v>34.03</v>
      </c>
      <c r="AB31" s="103">
        <v>2005100</v>
      </c>
      <c r="AC31" s="9">
        <v>34.03</v>
      </c>
      <c r="AD31" s="40">
        <f t="shared" si="0"/>
        <v>0.42000000000000171</v>
      </c>
      <c r="AE31" s="161">
        <f t="shared" si="1"/>
        <v>5.0206733608979537E-3</v>
      </c>
    </row>
    <row r="32" spans="1:31" x14ac:dyDescent="0.25">
      <c r="B32" s="192"/>
      <c r="C32" s="10"/>
      <c r="D32" s="201"/>
      <c r="E32" s="40"/>
      <c r="F32" s="235"/>
      <c r="G32" s="40"/>
      <c r="H32" s="231"/>
      <c r="I32" s="40"/>
      <c r="W32" s="109">
        <v>42754</v>
      </c>
      <c r="X32" s="9">
        <v>33.130000000000003</v>
      </c>
      <c r="Y32" s="9">
        <v>33.94</v>
      </c>
      <c r="Z32" s="9">
        <v>33.090000000000003</v>
      </c>
      <c r="AA32" s="9">
        <v>33.86</v>
      </c>
      <c r="AB32" s="103">
        <v>5042600</v>
      </c>
      <c r="AC32" s="9">
        <v>33.86</v>
      </c>
      <c r="AD32" s="40">
        <f t="shared" si="0"/>
        <v>0.84999999999999432</v>
      </c>
      <c r="AE32" s="161">
        <f t="shared" si="1"/>
        <v>2.668283808368721E-2</v>
      </c>
    </row>
    <row r="33" spans="1:31" x14ac:dyDescent="0.25">
      <c r="B33" s="192"/>
      <c r="C33" s="10"/>
      <c r="D33" s="201"/>
      <c r="E33" s="40"/>
      <c r="F33" s="235"/>
      <c r="G33" s="40"/>
      <c r="H33" s="231"/>
      <c r="I33" s="40"/>
      <c r="W33" s="109">
        <v>42753</v>
      </c>
      <c r="X33" s="9">
        <v>32.520000000000003</v>
      </c>
      <c r="Y33" s="9">
        <v>33.020000000000003</v>
      </c>
      <c r="Z33" s="9">
        <v>32.21</v>
      </c>
      <c r="AA33" s="9">
        <v>32.979999999999997</v>
      </c>
      <c r="AB33" s="103">
        <v>3065100</v>
      </c>
      <c r="AC33" s="9">
        <v>32.979999999999997</v>
      </c>
      <c r="AD33" s="40">
        <f t="shared" si="0"/>
        <v>0.81000000000000227</v>
      </c>
      <c r="AE33" s="161">
        <f t="shared" si="1"/>
        <v>2.3905619372865505E-2</v>
      </c>
    </row>
    <row r="34" spans="1:31" x14ac:dyDescent="0.25">
      <c r="B34" s="192"/>
      <c r="C34" s="10"/>
      <c r="D34" s="201"/>
      <c r="E34" s="40"/>
      <c r="F34" s="235"/>
      <c r="G34" s="40"/>
      <c r="H34" s="231"/>
      <c r="I34" s="40"/>
      <c r="W34" s="109">
        <v>42752</v>
      </c>
      <c r="X34" s="9">
        <v>32.19</v>
      </c>
      <c r="Y34" s="9">
        <v>32.590000000000003</v>
      </c>
      <c r="Z34" s="9">
        <v>31.96</v>
      </c>
      <c r="AA34" s="9">
        <v>32.21</v>
      </c>
      <c r="AB34" s="103">
        <v>2929200</v>
      </c>
      <c r="AC34" s="9">
        <v>32.21</v>
      </c>
      <c r="AD34" s="40">
        <f t="shared" si="0"/>
        <v>0.63000000000000256</v>
      </c>
      <c r="AE34" s="161">
        <f t="shared" si="1"/>
        <v>1.8662519440124647E-3</v>
      </c>
    </row>
    <row r="35" spans="1:31" x14ac:dyDescent="0.25">
      <c r="B35" s="192"/>
      <c r="C35" s="10"/>
      <c r="D35" s="201"/>
      <c r="E35" s="40"/>
      <c r="F35" s="235"/>
      <c r="G35" s="40"/>
      <c r="H35" s="231"/>
      <c r="I35" s="40"/>
      <c r="W35" s="109">
        <v>42748</v>
      </c>
      <c r="X35" s="9">
        <v>32.299999999999997</v>
      </c>
      <c r="Y35" s="9">
        <v>32.4</v>
      </c>
      <c r="Z35" s="9">
        <v>31.97</v>
      </c>
      <c r="AA35" s="9">
        <v>32.15</v>
      </c>
      <c r="AB35" s="103">
        <v>1090500</v>
      </c>
      <c r="AC35" s="9">
        <v>32.15</v>
      </c>
      <c r="AD35" s="40">
        <f t="shared" si="0"/>
        <v>0.42999999999999972</v>
      </c>
      <c r="AE35" s="161">
        <f t="shared" si="1"/>
        <v>-2.7915632754343944E-3</v>
      </c>
    </row>
    <row r="36" spans="1:31" x14ac:dyDescent="0.25">
      <c r="B36" s="192"/>
      <c r="C36" s="10"/>
      <c r="D36" s="201"/>
      <c r="E36" s="40"/>
      <c r="F36" s="235"/>
      <c r="G36" s="40"/>
      <c r="H36" s="231"/>
      <c r="I36" s="40"/>
      <c r="W36" s="109">
        <v>42747</v>
      </c>
      <c r="X36" s="9">
        <v>32.67</v>
      </c>
      <c r="Y36" s="9">
        <v>32.75</v>
      </c>
      <c r="Z36" s="9">
        <v>32.22</v>
      </c>
      <c r="AA36" s="9">
        <v>32.24</v>
      </c>
      <c r="AB36" s="103">
        <v>1078500</v>
      </c>
      <c r="AC36" s="9">
        <v>32.24</v>
      </c>
      <c r="AD36" s="40">
        <f t="shared" si="0"/>
        <v>0.53000000000000114</v>
      </c>
      <c r="AE36" s="161">
        <f t="shared" si="1"/>
        <v>-7.9999999999998961E-3</v>
      </c>
    </row>
    <row r="37" spans="1:31" x14ac:dyDescent="0.25">
      <c r="B37" s="73"/>
      <c r="C37" s="4"/>
      <c r="D37" s="585"/>
      <c r="E37" s="3"/>
      <c r="F37" s="3"/>
      <c r="G37" s="3"/>
      <c r="H37" s="232"/>
      <c r="I37" s="3"/>
      <c r="W37" s="109">
        <v>42746</v>
      </c>
      <c r="X37" s="9">
        <v>32.22</v>
      </c>
      <c r="Y37" s="9">
        <v>32.840000000000003</v>
      </c>
      <c r="Z37" s="9">
        <v>31.87</v>
      </c>
      <c r="AA37" s="9">
        <v>32.5</v>
      </c>
      <c r="AB37" s="103">
        <v>2540700</v>
      </c>
      <c r="AC37" s="9">
        <v>32.5</v>
      </c>
      <c r="AD37" s="40">
        <f t="shared" si="0"/>
        <v>0.97000000000000242</v>
      </c>
      <c r="AE37" s="161">
        <f t="shared" si="1"/>
        <v>3.1746031746031855E-2</v>
      </c>
    </row>
    <row r="38" spans="1:31" x14ac:dyDescent="0.25">
      <c r="B38" s="73"/>
      <c r="C38" s="4"/>
      <c r="D38" s="585"/>
      <c r="E38" s="3"/>
      <c r="F38" s="3"/>
      <c r="G38" s="3"/>
      <c r="H38" s="232"/>
      <c r="I38" s="3"/>
      <c r="W38" s="109">
        <v>42745</v>
      </c>
      <c r="X38" s="9">
        <v>32.36</v>
      </c>
      <c r="Y38" s="9">
        <v>32.44</v>
      </c>
      <c r="Z38" s="9">
        <v>31.45</v>
      </c>
      <c r="AA38" s="9">
        <v>31.5</v>
      </c>
      <c r="AB38" s="103">
        <v>1377100</v>
      </c>
      <c r="AC38" s="9">
        <v>31.5</v>
      </c>
      <c r="AD38" s="40">
        <f t="shared" si="0"/>
        <v>0.98999999999999844</v>
      </c>
      <c r="AE38" s="161">
        <f t="shared" si="1"/>
        <v>-1.4392991239048802E-2</v>
      </c>
    </row>
    <row r="39" spans="1:31" x14ac:dyDescent="0.25">
      <c r="W39" s="109">
        <v>42744</v>
      </c>
      <c r="X39" s="9">
        <v>32.03</v>
      </c>
      <c r="Y39" s="9">
        <v>32.090000000000003</v>
      </c>
      <c r="Z39" s="9">
        <v>31.7</v>
      </c>
      <c r="AA39" s="9">
        <v>31.96</v>
      </c>
      <c r="AB39" s="103">
        <v>985600</v>
      </c>
      <c r="AC39" s="9">
        <v>31.96</v>
      </c>
      <c r="AD39" s="40">
        <f t="shared" si="0"/>
        <v>0.39000000000000412</v>
      </c>
      <c r="AE39" s="161">
        <f t="shared" si="1"/>
        <v>9.3955527716893528E-4</v>
      </c>
    </row>
    <row r="40" spans="1:31" ht="20.25" thickBot="1" x14ac:dyDescent="0.35">
      <c r="O40" s="703" t="s">
        <v>78</v>
      </c>
      <c r="P40" s="703"/>
      <c r="W40" s="109">
        <v>42741</v>
      </c>
      <c r="X40" s="9">
        <v>31.98</v>
      </c>
      <c r="Y40" s="9">
        <v>32.08</v>
      </c>
      <c r="Z40" s="9">
        <v>31.75</v>
      </c>
      <c r="AA40" s="9">
        <v>31.93</v>
      </c>
      <c r="AB40" s="103">
        <v>2405500</v>
      </c>
      <c r="AC40" s="9">
        <v>31.93</v>
      </c>
      <c r="AD40" s="40">
        <f t="shared" si="0"/>
        <v>0.32999999999999829</v>
      </c>
      <c r="AE40" s="161">
        <f t="shared" si="1"/>
        <v>-6.2597809076680999E-4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39.248000000000005</v>
      </c>
      <c r="Q41" s="2"/>
      <c r="W41" s="109">
        <v>42740</v>
      </c>
      <c r="X41" s="9">
        <v>31.7</v>
      </c>
      <c r="Y41" s="9">
        <v>31.96</v>
      </c>
      <c r="Z41" s="9">
        <v>31.6</v>
      </c>
      <c r="AA41" s="9">
        <v>31.95</v>
      </c>
      <c r="AB41" s="103">
        <v>1781000</v>
      </c>
      <c r="AC41" s="9">
        <v>31.95</v>
      </c>
      <c r="AD41" s="40">
        <f t="shared" si="0"/>
        <v>0.35999999999999943</v>
      </c>
      <c r="AE41" s="161">
        <f t="shared" si="1"/>
        <v>1.139601139601143E-2</v>
      </c>
    </row>
    <row r="42" spans="1:31" ht="20.25" thickBot="1" x14ac:dyDescent="0.35">
      <c r="A42" s="384" t="s">
        <v>1</v>
      </c>
      <c r="B42" s="384" t="s">
        <v>2</v>
      </c>
      <c r="C42" s="384" t="s">
        <v>4</v>
      </c>
      <c r="D42" s="386" t="s">
        <v>5</v>
      </c>
      <c r="E42" s="386" t="s">
        <v>94</v>
      </c>
      <c r="F42" s="386" t="s">
        <v>60</v>
      </c>
      <c r="G42" s="384" t="s">
        <v>3</v>
      </c>
      <c r="H42" s="384" t="s">
        <v>6</v>
      </c>
      <c r="I42" s="386" t="s">
        <v>7</v>
      </c>
      <c r="J42" s="386" t="s">
        <v>95</v>
      </c>
      <c r="K42" s="386" t="s">
        <v>61</v>
      </c>
      <c r="L42" s="384" t="s">
        <v>37</v>
      </c>
      <c r="M42" s="384" t="s">
        <v>38</v>
      </c>
      <c r="O42" s="82">
        <v>1.0900000000000001</v>
      </c>
      <c r="P42" s="82">
        <f t="shared" ref="P42:P61" si="2">O42*$Q$4</f>
        <v>38.891200000000005</v>
      </c>
      <c r="Q42" s="2"/>
      <c r="T42" s="90" t="s">
        <v>113</v>
      </c>
      <c r="W42" s="109">
        <v>42739</v>
      </c>
      <c r="X42" s="9">
        <v>31.58</v>
      </c>
      <c r="Y42" s="9">
        <v>31.7</v>
      </c>
      <c r="Z42" s="9">
        <v>31.45</v>
      </c>
      <c r="AA42" s="9">
        <v>31.59</v>
      </c>
      <c r="AB42" s="103">
        <v>1113100</v>
      </c>
      <c r="AC42" s="9">
        <v>31.59</v>
      </c>
      <c r="AD42" s="40">
        <f t="shared" si="0"/>
        <v>0.25</v>
      </c>
      <c r="AE42" s="161">
        <f t="shared" si="1"/>
        <v>7.013069811922179E-3</v>
      </c>
    </row>
    <row r="43" spans="1:31" ht="15.75" thickTop="1" x14ac:dyDescent="0.25">
      <c r="A43" s="387" t="s">
        <v>335</v>
      </c>
      <c r="B43" s="377">
        <v>42719</v>
      </c>
      <c r="C43" s="378">
        <v>50</v>
      </c>
      <c r="D43" s="379">
        <v>31.18</v>
      </c>
      <c r="E43" s="379">
        <v>0</v>
      </c>
      <c r="F43" s="379">
        <f>C43*D43+E43</f>
        <v>1559</v>
      </c>
      <c r="G43" s="377">
        <v>42753</v>
      </c>
      <c r="H43" s="378">
        <v>50</v>
      </c>
      <c r="I43" s="379">
        <v>32.92</v>
      </c>
      <c r="J43" s="379">
        <v>0.04</v>
      </c>
      <c r="K43" s="379">
        <f>H43*I43-J43</f>
        <v>1645.96</v>
      </c>
      <c r="L43" s="377">
        <v>42748</v>
      </c>
      <c r="M43" s="378">
        <v>18</v>
      </c>
      <c r="O43" s="82">
        <v>1.08</v>
      </c>
      <c r="P43" s="82">
        <f t="shared" si="2"/>
        <v>38.534400000000005</v>
      </c>
      <c r="Q43" s="2"/>
      <c r="T43" s="127" t="s">
        <v>98</v>
      </c>
      <c r="U43" s="128">
        <v>34.6</v>
      </c>
      <c r="W43" s="109">
        <v>42738</v>
      </c>
      <c r="X43" s="9">
        <v>31.16</v>
      </c>
      <c r="Y43" s="9">
        <v>31.49</v>
      </c>
      <c r="Z43" s="9">
        <v>31.09</v>
      </c>
      <c r="AA43" s="9">
        <v>31.37</v>
      </c>
      <c r="AB43" s="103">
        <v>2219700</v>
      </c>
      <c r="AC43" s="9">
        <v>31.37</v>
      </c>
      <c r="AD43" s="40">
        <f t="shared" si="0"/>
        <v>0.39999999999999858</v>
      </c>
      <c r="AE43" s="161">
        <f t="shared" si="1"/>
        <v>-9.5541401273879778E-4</v>
      </c>
    </row>
    <row r="44" spans="1:31" x14ac:dyDescent="0.25">
      <c r="A44" s="388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4">
        <v>50</v>
      </c>
      <c r="I44" s="3">
        <v>34.380000000000003</v>
      </c>
      <c r="J44" s="3">
        <v>0.04</v>
      </c>
      <c r="K44" s="3">
        <f>H44*I44-J44</f>
        <v>1718.9600000000003</v>
      </c>
      <c r="L44" s="378"/>
      <c r="M44" s="378"/>
      <c r="O44" s="82">
        <v>1.07</v>
      </c>
      <c r="P44" s="82">
        <f t="shared" si="2"/>
        <v>38.177600000000005</v>
      </c>
      <c r="Q44" s="2"/>
      <c r="T44" s="92" t="s">
        <v>99</v>
      </c>
      <c r="U44" s="129">
        <v>34.51</v>
      </c>
      <c r="W44" s="109">
        <v>42734</v>
      </c>
      <c r="X44" s="9">
        <v>31.6</v>
      </c>
      <c r="Y44" s="9">
        <v>31.7</v>
      </c>
      <c r="Z44" s="9">
        <v>31.19</v>
      </c>
      <c r="AA44" s="9">
        <v>31.4</v>
      </c>
      <c r="AB44" s="103">
        <v>1592700</v>
      </c>
      <c r="AC44" s="9">
        <v>31.4</v>
      </c>
      <c r="AD44" s="40">
        <f t="shared" si="0"/>
        <v>0.50999999999999801</v>
      </c>
      <c r="AE44" s="161">
        <f t="shared" si="1"/>
        <v>-5.6998100063331281E-3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82"/>
      <c r="I45" s="379"/>
      <c r="J45" s="379"/>
      <c r="K45" s="379"/>
      <c r="L45" s="378"/>
      <c r="M45" s="378"/>
      <c r="O45" s="82">
        <v>1.06</v>
      </c>
      <c r="P45" s="82">
        <f t="shared" si="2"/>
        <v>37.820799999999998</v>
      </c>
      <c r="Q45" s="2"/>
      <c r="T45" s="92" t="s">
        <v>100</v>
      </c>
      <c r="U45" s="129" t="s">
        <v>129</v>
      </c>
      <c r="W45" s="109">
        <v>42733</v>
      </c>
      <c r="X45" s="9">
        <v>31.73</v>
      </c>
      <c r="Y45" s="9">
        <v>31.81</v>
      </c>
      <c r="Z45" s="9">
        <v>31.56</v>
      </c>
      <c r="AA45" s="9">
        <v>31.58</v>
      </c>
      <c r="AB45" s="103">
        <v>604700</v>
      </c>
      <c r="AC45" s="9">
        <v>31.58</v>
      </c>
      <c r="AD45" s="40">
        <f t="shared" si="0"/>
        <v>0.25</v>
      </c>
      <c r="AE45" s="161">
        <f t="shared" si="1"/>
        <v>-1.2650221378874837E-3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82"/>
      <c r="I46" s="379"/>
      <c r="J46" s="379"/>
      <c r="K46" s="379"/>
      <c r="L46" s="378"/>
      <c r="M46" s="378"/>
      <c r="O46" s="82">
        <v>1.05</v>
      </c>
      <c r="P46" s="82">
        <f t="shared" si="2"/>
        <v>37.463999999999999</v>
      </c>
      <c r="Q46" s="2"/>
      <c r="T46" s="92" t="s">
        <v>101</v>
      </c>
      <c r="U46" s="129" t="s">
        <v>129</v>
      </c>
      <c r="W46" s="109">
        <v>42732</v>
      </c>
      <c r="X46" s="9">
        <v>31.57</v>
      </c>
      <c r="Y46" s="9">
        <v>31.87</v>
      </c>
      <c r="Z46" s="9">
        <v>31.52</v>
      </c>
      <c r="AA46" s="9">
        <v>31.62</v>
      </c>
      <c r="AB46" s="103">
        <v>709900</v>
      </c>
      <c r="AC46" s="9">
        <v>31.62</v>
      </c>
      <c r="AD46" s="40">
        <f t="shared" si="0"/>
        <v>0.35000000000000142</v>
      </c>
      <c r="AE46" s="161" t="e">
        <f t="shared" si="1"/>
        <v>#DIV/0!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9"/>
      <c r="J47" s="379"/>
      <c r="K47" s="379"/>
      <c r="L47" s="378"/>
      <c r="M47" s="378"/>
      <c r="O47" s="82">
        <v>1.04</v>
      </c>
      <c r="P47" s="82">
        <f t="shared" si="2"/>
        <v>37.107199999999999</v>
      </c>
      <c r="Q47" s="2"/>
      <c r="T47" s="92" t="s">
        <v>102</v>
      </c>
      <c r="U47" s="129">
        <v>38.299999999999997</v>
      </c>
      <c r="W47" s="109">
        <v>42732</v>
      </c>
      <c r="X47" s="9" t="s">
        <v>357</v>
      </c>
      <c r="Y47" s="9"/>
      <c r="Z47" s="9"/>
      <c r="AA47" s="9"/>
      <c r="AB47" s="103"/>
      <c r="AC47" s="9"/>
      <c r="AD47" s="40">
        <f t="shared" si="0"/>
        <v>0</v>
      </c>
      <c r="AE47" s="161">
        <f t="shared" si="1"/>
        <v>-1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9"/>
      <c r="L48" s="378"/>
      <c r="M48" s="378"/>
      <c r="O48" s="82">
        <v>1.03</v>
      </c>
      <c r="P48" s="82">
        <f t="shared" si="2"/>
        <v>36.750399999999999</v>
      </c>
      <c r="Q48" s="2"/>
      <c r="T48" s="92" t="s">
        <v>103</v>
      </c>
      <c r="U48" s="129">
        <v>0.90102199999999999</v>
      </c>
      <c r="W48" s="109">
        <v>42731</v>
      </c>
      <c r="X48" s="9">
        <v>32.19</v>
      </c>
      <c r="Y48" s="9">
        <v>32.29</v>
      </c>
      <c r="Z48" s="9">
        <v>31.91</v>
      </c>
      <c r="AA48" s="9">
        <v>31.91</v>
      </c>
      <c r="AB48" s="103">
        <v>632700</v>
      </c>
      <c r="AC48" s="9">
        <v>31.73</v>
      </c>
      <c r="AD48" s="40">
        <f t="shared" si="0"/>
        <v>0.37999999999999901</v>
      </c>
      <c r="AE48" s="161">
        <f t="shared" si="1"/>
        <v>-8.7472664792251908E-3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82"/>
      <c r="I49" s="379"/>
      <c r="J49" s="379"/>
      <c r="K49" s="379"/>
      <c r="L49" s="378"/>
      <c r="M49" s="378"/>
      <c r="O49" s="82">
        <v>1.02</v>
      </c>
      <c r="P49" s="82">
        <f t="shared" si="2"/>
        <v>36.393599999999999</v>
      </c>
      <c r="Q49" s="2"/>
      <c r="T49" s="92" t="s">
        <v>104</v>
      </c>
      <c r="U49" s="129" t="s">
        <v>480</v>
      </c>
      <c r="W49" s="109">
        <v>42727</v>
      </c>
      <c r="X49" s="9">
        <v>32.18</v>
      </c>
      <c r="Y49" s="9">
        <v>32.340000000000003</v>
      </c>
      <c r="Z49" s="9">
        <v>31.96</v>
      </c>
      <c r="AA49" s="9">
        <v>32.19</v>
      </c>
      <c r="AB49" s="103">
        <v>981400</v>
      </c>
      <c r="AC49" s="9">
        <v>32.01</v>
      </c>
      <c r="AD49" s="40">
        <f t="shared" si="0"/>
        <v>0.38000000000000256</v>
      </c>
      <c r="AE49" s="161">
        <f t="shared" si="1"/>
        <v>-3.1142946122704185E-3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82"/>
      <c r="I50" s="379"/>
      <c r="J50" s="379"/>
      <c r="K50" s="379"/>
      <c r="L50" s="378"/>
      <c r="M50" s="378"/>
      <c r="O50" s="82">
        <v>1.01</v>
      </c>
      <c r="P50" s="82">
        <f t="shared" si="2"/>
        <v>36.036799999999999</v>
      </c>
      <c r="Q50" s="2"/>
      <c r="T50" s="92"/>
      <c r="U50" s="129"/>
      <c r="W50" s="109">
        <v>42726</v>
      </c>
      <c r="X50" s="9">
        <v>32.299999999999997</v>
      </c>
      <c r="Y50" s="9">
        <v>32.39</v>
      </c>
      <c r="Z50" s="9">
        <v>32.21</v>
      </c>
      <c r="AA50" s="9">
        <v>32.29</v>
      </c>
      <c r="AB50" s="103">
        <v>947600</v>
      </c>
      <c r="AC50" s="9">
        <v>32.11</v>
      </c>
      <c r="AD50" s="40">
        <f t="shared" si="0"/>
        <v>0.17999999999999972</v>
      </c>
      <c r="AE50" s="161">
        <f t="shared" si="1"/>
        <v>-3.4140285536933268E-3</v>
      </c>
    </row>
    <row r="51" spans="1:31" x14ac:dyDescent="0.25">
      <c r="A51" s="378"/>
      <c r="B51" s="378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</v>
      </c>
      <c r="P51" s="82">
        <f t="shared" si="2"/>
        <v>35.68</v>
      </c>
      <c r="Q51" s="2"/>
      <c r="T51" s="92" t="s">
        <v>105</v>
      </c>
      <c r="U51" s="129" t="s">
        <v>615</v>
      </c>
      <c r="W51" s="109">
        <v>42725</v>
      </c>
      <c r="X51" s="9">
        <v>32.31</v>
      </c>
      <c r="Y51" s="9">
        <v>32.57</v>
      </c>
      <c r="Z51" s="9">
        <v>32.299999999999997</v>
      </c>
      <c r="AA51" s="9">
        <v>32.4</v>
      </c>
      <c r="AB51" s="103">
        <v>1117800</v>
      </c>
      <c r="AC51" s="9">
        <v>32.22</v>
      </c>
      <c r="AD51" s="40">
        <f t="shared" si="0"/>
        <v>0.27000000000000313</v>
      </c>
      <c r="AE51" s="161">
        <f t="shared" si="1"/>
        <v>4.9906425452275194E-3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9"/>
      <c r="J52" s="379"/>
      <c r="K52" s="379"/>
      <c r="L52" s="378"/>
      <c r="M52" s="378"/>
      <c r="O52" s="82">
        <v>0.99</v>
      </c>
      <c r="P52" s="82">
        <f t="shared" si="2"/>
        <v>35.3232</v>
      </c>
      <c r="Q52" s="2"/>
      <c r="T52" s="92" t="s">
        <v>106</v>
      </c>
      <c r="U52" s="129" t="s">
        <v>336</v>
      </c>
      <c r="W52" s="109">
        <v>42724</v>
      </c>
      <c r="X52" s="9">
        <v>32.200000000000003</v>
      </c>
      <c r="Y52" s="9">
        <v>32.369999999999997</v>
      </c>
      <c r="Z52" s="9">
        <v>32.08</v>
      </c>
      <c r="AA52" s="9">
        <v>32.24</v>
      </c>
      <c r="AB52" s="103">
        <v>1420100</v>
      </c>
      <c r="AC52" s="9">
        <v>32.06</v>
      </c>
      <c r="AD52" s="40">
        <f t="shared" si="0"/>
        <v>0.28999999999999915</v>
      </c>
      <c r="AE52" s="161">
        <f t="shared" si="1"/>
        <v>-5.2745888923361184E-3</v>
      </c>
    </row>
    <row r="53" spans="1:31" x14ac:dyDescent="0.25">
      <c r="A53" s="378"/>
      <c r="B53" s="378"/>
      <c r="C53" s="378"/>
      <c r="D53" s="379"/>
      <c r="E53" s="379"/>
      <c r="F53" s="379"/>
      <c r="G53" s="378"/>
      <c r="H53" s="378"/>
      <c r="I53" s="379"/>
      <c r="J53" s="379"/>
      <c r="K53" s="379"/>
      <c r="L53" s="378"/>
      <c r="M53" s="378"/>
      <c r="O53" s="82">
        <v>0.98</v>
      </c>
      <c r="P53" s="82">
        <f t="shared" si="2"/>
        <v>34.9664</v>
      </c>
      <c r="Q53" s="2"/>
      <c r="T53" s="92" t="s">
        <v>107</v>
      </c>
      <c r="U53" s="130">
        <v>869423</v>
      </c>
      <c r="W53" s="109">
        <v>42723</v>
      </c>
      <c r="X53" s="9">
        <v>32.18</v>
      </c>
      <c r="Y53" s="9">
        <v>32.56</v>
      </c>
      <c r="Z53" s="9">
        <v>32.17</v>
      </c>
      <c r="AA53" s="9">
        <v>32.409999999999997</v>
      </c>
      <c r="AB53" s="103">
        <v>1312600</v>
      </c>
      <c r="AC53" s="9">
        <v>32.229999999999997</v>
      </c>
      <c r="AD53" s="40">
        <f t="shared" si="0"/>
        <v>0.39000000000000057</v>
      </c>
      <c r="AE53" s="161">
        <f t="shared" si="1"/>
        <v>-1.8581604211831415E-3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78"/>
      <c r="I54" s="379"/>
      <c r="J54" s="379"/>
      <c r="K54" s="379"/>
      <c r="L54" s="378"/>
      <c r="M54" s="378"/>
      <c r="O54" s="82">
        <v>0.97</v>
      </c>
      <c r="P54" s="82">
        <f t="shared" si="2"/>
        <v>34.6096</v>
      </c>
      <c r="T54" s="92" t="s">
        <v>110</v>
      </c>
      <c r="U54" s="130">
        <v>1687800</v>
      </c>
      <c r="W54" s="109">
        <v>42720</v>
      </c>
      <c r="X54" s="9">
        <v>32.35</v>
      </c>
      <c r="Y54" s="9">
        <v>32.51</v>
      </c>
      <c r="Z54" s="9">
        <v>32.17</v>
      </c>
      <c r="AA54" s="9">
        <v>32.47</v>
      </c>
      <c r="AB54" s="103">
        <v>1421000</v>
      </c>
      <c r="AC54" s="9">
        <v>32.29</v>
      </c>
      <c r="AD54" s="40">
        <f t="shared" si="0"/>
        <v>0.33999999999999631</v>
      </c>
      <c r="AE54" s="161">
        <f t="shared" si="1"/>
        <v>1.000938379731009E-2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78"/>
      <c r="I55" s="379"/>
      <c r="J55" s="379"/>
      <c r="K55" s="379"/>
      <c r="L55" s="378"/>
      <c r="M55" s="378"/>
      <c r="O55" s="82">
        <v>0.96</v>
      </c>
      <c r="P55" s="82">
        <f t="shared" si="2"/>
        <v>34.252800000000001</v>
      </c>
      <c r="T55" s="92" t="s">
        <v>108</v>
      </c>
      <c r="U55" s="129" t="s">
        <v>616</v>
      </c>
      <c r="W55" s="109">
        <v>42719</v>
      </c>
      <c r="X55" s="9">
        <v>31.18</v>
      </c>
      <c r="Y55" s="9">
        <v>32.36</v>
      </c>
      <c r="Z55" s="9">
        <v>31.01</v>
      </c>
      <c r="AA55" s="9">
        <v>32.15</v>
      </c>
      <c r="AB55" s="103">
        <v>1847600</v>
      </c>
      <c r="AC55" s="9">
        <v>31.97</v>
      </c>
      <c r="AD55" s="40">
        <f t="shared" si="0"/>
        <v>1.3499999999999979</v>
      </c>
      <c r="AE55" s="161">
        <f t="shared" si="1"/>
        <v>1.8152866242038268E-2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78"/>
      <c r="I56" s="379"/>
      <c r="J56" s="379"/>
      <c r="K56" s="379"/>
      <c r="L56" s="378"/>
      <c r="M56" s="378"/>
      <c r="O56" s="82">
        <v>0.95</v>
      </c>
      <c r="P56" s="82">
        <f t="shared" si="2"/>
        <v>33.896000000000001</v>
      </c>
      <c r="T56" s="92" t="s">
        <v>111</v>
      </c>
      <c r="U56" s="129">
        <v>26.1</v>
      </c>
      <c r="W56" s="109">
        <v>42718</v>
      </c>
      <c r="X56" s="9">
        <v>32.020000000000003</v>
      </c>
      <c r="Y56" s="9">
        <v>32.11</v>
      </c>
      <c r="Z56" s="9">
        <v>31.58</v>
      </c>
      <c r="AA56" s="9">
        <v>31.58</v>
      </c>
      <c r="AB56" s="103">
        <v>1906400</v>
      </c>
      <c r="AC56" s="9">
        <v>31.4</v>
      </c>
      <c r="AD56" s="40">
        <f t="shared" si="0"/>
        <v>0.53000000000000114</v>
      </c>
      <c r="AE56" s="161">
        <f t="shared" si="1"/>
        <v>-7.89889415481837E-3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78"/>
      <c r="I57" s="379"/>
      <c r="J57" s="379"/>
      <c r="K57" s="379"/>
      <c r="L57" s="378"/>
      <c r="M57" s="378"/>
      <c r="O57" s="82">
        <v>0.94</v>
      </c>
      <c r="P57" s="82">
        <f t="shared" si="2"/>
        <v>33.539200000000001</v>
      </c>
      <c r="T57" s="92" t="s">
        <v>112</v>
      </c>
      <c r="U57" s="129">
        <v>1.35</v>
      </c>
      <c r="W57" s="109">
        <v>42717</v>
      </c>
      <c r="X57" s="9">
        <v>32.159999999999997</v>
      </c>
      <c r="Y57" s="9">
        <v>32.159999999999997</v>
      </c>
      <c r="Z57" s="9">
        <v>31.48</v>
      </c>
      <c r="AA57" s="9">
        <v>31.83</v>
      </c>
      <c r="AB57" s="103">
        <v>1724400</v>
      </c>
      <c r="AC57" s="9">
        <v>31.65</v>
      </c>
      <c r="AD57" s="40">
        <f t="shared" si="0"/>
        <v>0.67999999999999616</v>
      </c>
      <c r="AE57" s="161">
        <f t="shared" si="1"/>
        <v>-9.3896713615023719E-3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33.182400000000001</v>
      </c>
      <c r="T58" s="92" t="s">
        <v>109</v>
      </c>
      <c r="U58" s="129" t="s">
        <v>337</v>
      </c>
      <c r="W58" s="109">
        <v>42716</v>
      </c>
      <c r="X58" s="9">
        <v>32.380000000000003</v>
      </c>
      <c r="Y58" s="9">
        <v>32.729999999999997</v>
      </c>
      <c r="Z58" s="9">
        <v>32</v>
      </c>
      <c r="AA58" s="9">
        <v>32.130000000000003</v>
      </c>
      <c r="AB58" s="103">
        <v>2787800</v>
      </c>
      <c r="AC58" s="9">
        <v>31.95</v>
      </c>
      <c r="AD58" s="40">
        <f t="shared" si="0"/>
        <v>0.72999999999999687</v>
      </c>
      <c r="AE58" s="161">
        <f t="shared" si="1"/>
        <v>-5.2926525529264357E-3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32.825600000000001</v>
      </c>
      <c r="W59" s="109">
        <v>42713</v>
      </c>
      <c r="X59" s="9">
        <v>31.65</v>
      </c>
      <c r="Y59" s="9">
        <v>32.54</v>
      </c>
      <c r="Z59" s="9">
        <v>31.65</v>
      </c>
      <c r="AA59" s="9">
        <v>32.299999999999997</v>
      </c>
      <c r="AB59" s="103">
        <v>2558000</v>
      </c>
      <c r="AC59" s="9">
        <v>32.119999999999997</v>
      </c>
      <c r="AD59" s="40">
        <f t="shared" si="0"/>
        <v>0.89000000000000057</v>
      </c>
      <c r="AE59" s="161">
        <f t="shared" si="1"/>
        <v>2.0979020979020824E-2</v>
      </c>
    </row>
    <row r="60" spans="1:31" ht="15.75" thickBot="1" x14ac:dyDescent="0.3">
      <c r="A60" s="467"/>
      <c r="B60" s="468"/>
      <c r="C60" s="469"/>
      <c r="D60" s="469"/>
      <c r="E60" s="469"/>
      <c r="F60" s="470"/>
      <c r="G60" s="469"/>
      <c r="H60" s="469"/>
      <c r="I60" s="469"/>
      <c r="J60" s="469"/>
      <c r="K60" s="470"/>
      <c r="L60" s="469"/>
      <c r="M60" s="592"/>
      <c r="O60" s="82">
        <v>0.91</v>
      </c>
      <c r="P60" s="82">
        <f t="shared" si="2"/>
        <v>32.468800000000002</v>
      </c>
      <c r="W60" s="109">
        <v>42712</v>
      </c>
      <c r="X60" s="9">
        <v>31.5</v>
      </c>
      <c r="Y60" s="9">
        <v>31.81</v>
      </c>
      <c r="Z60" s="9">
        <v>31.36</v>
      </c>
      <c r="AA60" s="9">
        <v>31.64</v>
      </c>
      <c r="AB60" s="103">
        <v>1829400</v>
      </c>
      <c r="AC60" s="9">
        <v>31.46</v>
      </c>
      <c r="AD60" s="40">
        <f t="shared" si="0"/>
        <v>0.44999999999999929</v>
      </c>
      <c r="AE60" s="161">
        <f t="shared" si="1"/>
        <v>-1.2864763100094101E-2</v>
      </c>
    </row>
    <row r="61" spans="1:31" x14ac:dyDescent="0.25">
      <c r="O61" s="82">
        <v>0.9</v>
      </c>
      <c r="P61" s="82">
        <f t="shared" si="2"/>
        <v>32.112000000000002</v>
      </c>
      <c r="W61" s="109">
        <v>42711</v>
      </c>
      <c r="X61" s="9">
        <v>31.45</v>
      </c>
      <c r="Y61" s="9">
        <v>32.090000000000003</v>
      </c>
      <c r="Z61" s="9">
        <v>31.4</v>
      </c>
      <c r="AA61" s="9">
        <v>32.049999999999997</v>
      </c>
      <c r="AB61" s="103">
        <v>2881300</v>
      </c>
      <c r="AC61" s="9">
        <v>31.87</v>
      </c>
      <c r="AD61" s="40">
        <f t="shared" si="0"/>
        <v>0.69000000000000483</v>
      </c>
      <c r="AE61" s="161">
        <f t="shared" si="1"/>
        <v>2.344251766217087E-2</v>
      </c>
    </row>
    <row r="62" spans="1:31" x14ac:dyDescent="0.25">
      <c r="W62" s="109">
        <v>42710</v>
      </c>
      <c r="X62" s="9">
        <v>31.35</v>
      </c>
      <c r="Y62" s="9">
        <v>31.43</v>
      </c>
      <c r="Z62" s="9">
        <v>30.55</v>
      </c>
      <c r="AA62" s="9">
        <v>31.31</v>
      </c>
      <c r="AB62" s="103">
        <v>9273100</v>
      </c>
      <c r="AC62" s="9">
        <v>31.14</v>
      </c>
      <c r="AD62" s="40">
        <f t="shared" si="0"/>
        <v>0.87999999999999901</v>
      </c>
      <c r="AE62" s="161">
        <f t="shared" si="1"/>
        <v>-8.5959885386819312E-3</v>
      </c>
    </row>
    <row r="63" spans="1:31" x14ac:dyDescent="0.25">
      <c r="W63" s="109">
        <v>42709</v>
      </c>
      <c r="X63" s="9">
        <v>31.9</v>
      </c>
      <c r="Y63" s="9">
        <v>31.96</v>
      </c>
      <c r="Z63" s="9">
        <v>31.48</v>
      </c>
      <c r="AA63" s="9">
        <v>31.59</v>
      </c>
      <c r="AB63" s="103">
        <v>2220500</v>
      </c>
      <c r="AC63" s="9">
        <v>31.41</v>
      </c>
      <c r="AD63" s="40">
        <f t="shared" si="0"/>
        <v>0.48000000000000043</v>
      </c>
      <c r="AE63" s="161">
        <f t="shared" si="1"/>
        <v>2.2335673261009159E-3</v>
      </c>
    </row>
    <row r="64" spans="1:31" x14ac:dyDescent="0.25">
      <c r="W64" s="109">
        <v>42706</v>
      </c>
      <c r="X64" s="9">
        <v>31.81</v>
      </c>
      <c r="Y64" s="9">
        <v>32</v>
      </c>
      <c r="Z64" s="9">
        <v>31.42</v>
      </c>
      <c r="AA64" s="9">
        <v>31.52</v>
      </c>
      <c r="AB64" s="103">
        <v>3702400</v>
      </c>
      <c r="AC64" s="9">
        <v>31.34</v>
      </c>
      <c r="AD64" s="40">
        <f t="shared" si="0"/>
        <v>0.57999999999999829</v>
      </c>
      <c r="AE64" s="161">
        <f t="shared" si="1"/>
        <v>3.8436899423446302E-3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42705</v>
      </c>
      <c r="X65" s="9">
        <v>32.57</v>
      </c>
      <c r="Y65" s="9">
        <v>32.57</v>
      </c>
      <c r="Z65" s="9">
        <v>31.37</v>
      </c>
      <c r="AA65" s="9">
        <v>31.4</v>
      </c>
      <c r="AB65" s="103">
        <v>2295200</v>
      </c>
      <c r="AC65" s="9">
        <v>31.22</v>
      </c>
      <c r="AD65" s="40">
        <f t="shared" si="0"/>
        <v>1.1999999999999993</v>
      </c>
      <c r="AE65" s="161">
        <f t="shared" si="1"/>
        <v>-3.2837670384138873E-2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42704</v>
      </c>
      <c r="X66" s="9">
        <v>33.200000000000003</v>
      </c>
      <c r="Y66" s="9">
        <v>33.24</v>
      </c>
      <c r="Z66" s="9">
        <v>32.450000000000003</v>
      </c>
      <c r="AA66" s="9">
        <v>32.46</v>
      </c>
      <c r="AB66" s="103">
        <v>2809400</v>
      </c>
      <c r="AC66" s="9">
        <v>32.28</v>
      </c>
      <c r="AD66" s="40">
        <f t="shared" si="0"/>
        <v>0.78999999999999915</v>
      </c>
      <c r="AE66" s="161">
        <f t="shared" si="1"/>
        <v>-1.6752969844654242E-2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42703</v>
      </c>
      <c r="X67" s="9">
        <v>33.53</v>
      </c>
      <c r="Y67" s="9">
        <v>33.549999999999997</v>
      </c>
      <c r="Z67" s="9">
        <v>32.94</v>
      </c>
      <c r="AA67" s="9">
        <v>33.01</v>
      </c>
      <c r="AB67" s="103">
        <v>1704700</v>
      </c>
      <c r="AC67" s="9">
        <v>32.83</v>
      </c>
      <c r="AD67" s="40">
        <f>Y67-Z67</f>
        <v>0.60999999999999943</v>
      </c>
      <c r="AE67" s="161">
        <f>AC67/AC68-1</f>
        <v>-1.3521634615384692E-2</v>
      </c>
    </row>
    <row r="68" spans="1:31" x14ac:dyDescent="0.25">
      <c r="A68" s="4"/>
      <c r="B68" s="428"/>
      <c r="C68" s="428"/>
      <c r="D68" s="586"/>
      <c r="E68" s="586"/>
      <c r="F68" s="586"/>
      <c r="G68" s="428"/>
      <c r="H68" s="428"/>
      <c r="I68" s="586"/>
      <c r="J68" s="3"/>
      <c r="K68" s="3"/>
      <c r="L68" s="4"/>
      <c r="M68" s="3"/>
      <c r="N68" s="4"/>
      <c r="W68" s="109">
        <v>42702</v>
      </c>
      <c r="X68" s="9">
        <v>33.65</v>
      </c>
      <c r="Y68" s="9">
        <v>33.71</v>
      </c>
      <c r="Z68" s="9">
        <v>33.380000000000003</v>
      </c>
      <c r="AA68" s="9">
        <v>33.47</v>
      </c>
      <c r="AB68" s="103">
        <v>1715600</v>
      </c>
      <c r="AC68" s="9">
        <v>33.28</v>
      </c>
      <c r="AD68" s="40">
        <f>Y68-Z68</f>
        <v>0.32999999999999829</v>
      </c>
      <c r="AE68" s="161" t="e">
        <f>AC68/AC69-1</f>
        <v>#DIV/0!</v>
      </c>
    </row>
    <row r="69" spans="1:31" x14ac:dyDescent="0.25">
      <c r="A69" s="428"/>
      <c r="B69" s="73"/>
      <c r="C69" s="4"/>
      <c r="D69" s="3"/>
      <c r="E69" s="3"/>
      <c r="F69" s="3"/>
      <c r="G69" s="73"/>
      <c r="H69" s="184"/>
      <c r="I69" s="3"/>
      <c r="J69" s="586"/>
      <c r="K69" s="586"/>
      <c r="L69" s="428"/>
      <c r="M69" s="428"/>
      <c r="N69" s="4"/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 s="587"/>
      <c r="B70" s="7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</row>
    <row r="71" spans="1:31" x14ac:dyDescent="0.25">
      <c r="A71" s="588"/>
      <c r="B71" s="7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4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4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4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4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999" priority="27">
      <formula>F27&gt;0</formula>
    </cfRule>
    <cfRule type="expression" dxfId="998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997" priority="15">
      <formula>Q8&gt;0</formula>
    </cfRule>
    <cfRule type="expression" dxfId="996" priority="16">
      <formula>Q8&lt;0</formula>
    </cfRule>
  </conditionalFormatting>
  <conditionalFormatting sqref="Q7">
    <cfRule type="expression" dxfId="995" priority="17">
      <formula>Q7&gt;0</formula>
    </cfRule>
    <cfRule type="expression" dxfId="994" priority="18">
      <formula>Q7&lt;0</formula>
    </cfRule>
  </conditionalFormatting>
  <conditionalFormatting sqref="F37:F38">
    <cfRule type="expression" dxfId="993" priority="13">
      <formula>F37&gt;0</formula>
    </cfRule>
    <cfRule type="expression" dxfId="992" priority="14">
      <formula>F37&lt;0</formula>
    </cfRule>
  </conditionalFormatting>
  <conditionalFormatting sqref="H37:H38">
    <cfRule type="expression" dxfId="991" priority="11">
      <formula>H37&gt;0</formula>
    </cfRule>
    <cfRule type="expression" dxfId="990" priority="12">
      <formula>H37&lt;0</formula>
    </cfRule>
  </conditionalFormatting>
  <conditionalFormatting sqref="F23:F26 H23:H26">
    <cfRule type="expression" dxfId="989" priority="9">
      <formula>F23&gt;0</formula>
    </cfRule>
    <cfRule type="expression" dxfId="988" priority="10">
      <formula>F23&lt;0</formula>
    </cfRule>
  </conditionalFormatting>
  <conditionalFormatting sqref="Q10">
    <cfRule type="expression" dxfId="987" priority="3">
      <formula>Q10&gt;0</formula>
    </cfRule>
    <cfRule type="expression" dxfId="986" priority="4">
      <formula>Q10&lt;0</formula>
    </cfRule>
  </conditionalFormatting>
  <conditionalFormatting sqref="F22 H22">
    <cfRule type="expression" dxfId="985" priority="1">
      <formula>F22&gt;0</formula>
    </cfRule>
    <cfRule type="expression" dxfId="984" priority="2">
      <formula>F22&lt;0</formula>
    </cfRule>
  </conditionalFormatting>
  <conditionalFormatting sqref="M41">
    <cfRule type="expression" dxfId="983" priority="5">
      <formula>M41&gt;0</formula>
    </cfRule>
    <cfRule type="expression" dxfId="98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5703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42797</v>
      </c>
      <c r="X2" s="10">
        <v>56.74</v>
      </c>
      <c r="Y2" s="10">
        <v>57.34</v>
      </c>
      <c r="Z2" s="10">
        <v>56.63</v>
      </c>
      <c r="AA2" s="10">
        <v>57.26</v>
      </c>
      <c r="AB2" s="94">
        <v>9645800</v>
      </c>
      <c r="AC2" s="10">
        <v>57.26</v>
      </c>
      <c r="AD2" s="2">
        <f>Y2-Z2</f>
        <v>0.71000000000000085</v>
      </c>
      <c r="AE2" s="137">
        <f>AC2/AC3-1</f>
        <v>7.0348223707350499E-3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58.32</v>
      </c>
      <c r="T3" s="1"/>
      <c r="W3" s="132">
        <v>42796</v>
      </c>
      <c r="X3" s="10">
        <v>56.89</v>
      </c>
      <c r="Y3" s="10">
        <v>57.49</v>
      </c>
      <c r="Z3" s="10">
        <v>56.59</v>
      </c>
      <c r="AA3" s="10">
        <v>56.86</v>
      </c>
      <c r="AB3" s="94">
        <v>12091800</v>
      </c>
      <c r="AC3" s="10">
        <v>56.86</v>
      </c>
      <c r="AD3" s="2">
        <f t="shared" ref="AD3:AD66" si="0">Y3-Z3</f>
        <v>0.89999999999999858</v>
      </c>
      <c r="AE3" s="137">
        <f t="shared" ref="AE3:AE66" si="1">AC3/AC4-1</f>
        <v>-5.5963623644631477E-3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58.32</v>
      </c>
      <c r="R4" s="499">
        <v>5.7000000000000002E-3</v>
      </c>
      <c r="T4" s="162"/>
      <c r="U4" s="1"/>
      <c r="W4" s="132">
        <v>42795</v>
      </c>
      <c r="X4" s="10">
        <v>57</v>
      </c>
      <c r="Y4" s="10">
        <v>57.24</v>
      </c>
      <c r="Z4" s="10">
        <v>56.52</v>
      </c>
      <c r="AA4" s="10">
        <v>57.18</v>
      </c>
      <c r="AB4" s="94">
        <v>13265400</v>
      </c>
      <c r="AC4" s="10">
        <v>57.18</v>
      </c>
      <c r="AD4" s="2">
        <f t="shared" si="0"/>
        <v>0.71999999999999886</v>
      </c>
      <c r="AE4" s="137">
        <f t="shared" si="1"/>
        <v>8.2877799329923452E-3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56.54</v>
      </c>
      <c r="Y5" s="10">
        <v>56.93</v>
      </c>
      <c r="Z5" s="10">
        <v>56.21</v>
      </c>
      <c r="AA5" s="10">
        <v>56.71</v>
      </c>
      <c r="AB5" s="94">
        <v>8979100</v>
      </c>
      <c r="AC5" s="10">
        <v>56.71</v>
      </c>
      <c r="AD5" s="2">
        <f t="shared" si="0"/>
        <v>0.71999999999999886</v>
      </c>
      <c r="AE5" s="137">
        <f t="shared" si="1"/>
        <v>2.652050919377702E-3</v>
      </c>
    </row>
    <row r="6" spans="1:31" x14ac:dyDescent="0.25"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42793</v>
      </c>
      <c r="X6" s="10">
        <v>56.5</v>
      </c>
      <c r="Y6" s="10">
        <v>57</v>
      </c>
      <c r="Z6" s="10">
        <v>56.24</v>
      </c>
      <c r="AA6" s="10">
        <v>56.56</v>
      </c>
      <c r="AB6" s="94">
        <v>11182600</v>
      </c>
      <c r="AC6" s="10">
        <v>56.56</v>
      </c>
      <c r="AD6" s="2">
        <f t="shared" si="0"/>
        <v>0.75999999999999801</v>
      </c>
      <c r="AE6" s="137">
        <f t="shared" si="1"/>
        <v>2.1261516654855761E-3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910.79999999999927</v>
      </c>
      <c r="R7">
        <v>0</v>
      </c>
      <c r="W7" s="132">
        <v>42790</v>
      </c>
      <c r="X7" s="10">
        <v>55.92</v>
      </c>
      <c r="Y7" s="10">
        <v>56.47</v>
      </c>
      <c r="Z7" s="10">
        <v>55.88</v>
      </c>
      <c r="AA7" s="10">
        <v>56.44</v>
      </c>
      <c r="AB7" s="94">
        <v>11336900</v>
      </c>
      <c r="AC7" s="10">
        <v>56.44</v>
      </c>
      <c r="AD7" s="2">
        <f t="shared" si="0"/>
        <v>0.58999999999999631</v>
      </c>
      <c r="AE7" s="137">
        <f t="shared" si="1"/>
        <v>1.2013627398242743E-2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42789</v>
      </c>
      <c r="X8" s="10">
        <v>55.63</v>
      </c>
      <c r="Y8" s="10">
        <v>56.09</v>
      </c>
      <c r="Z8" s="10">
        <v>55.02</v>
      </c>
      <c r="AA8" s="10">
        <v>55.77</v>
      </c>
      <c r="AB8" s="94">
        <v>14145600</v>
      </c>
      <c r="AC8" s="10">
        <v>55.77</v>
      </c>
      <c r="AD8" s="2">
        <f t="shared" si="0"/>
        <v>1.0700000000000003</v>
      </c>
      <c r="AE8" s="137">
        <f t="shared" si="1"/>
        <v>7.5880758807589377E-3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42788</v>
      </c>
      <c r="X9" s="10">
        <v>55.49</v>
      </c>
      <c r="Y9" s="10">
        <v>56.45</v>
      </c>
      <c r="Z9" s="10">
        <v>55.29</v>
      </c>
      <c r="AA9" s="10">
        <v>55.35</v>
      </c>
      <c r="AB9" s="94">
        <v>21256300</v>
      </c>
      <c r="AC9" s="10">
        <v>55.35</v>
      </c>
      <c r="AD9" s="2">
        <f t="shared" si="0"/>
        <v>1.1600000000000037</v>
      </c>
      <c r="AE9" s="137">
        <f t="shared" si="1"/>
        <v>1.0405257393209189E-2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910.79999999999927</v>
      </c>
      <c r="W10" s="132">
        <v>42787</v>
      </c>
      <c r="X10" s="10">
        <v>54.41</v>
      </c>
      <c r="Y10" s="10">
        <v>57.21</v>
      </c>
      <c r="Z10" s="10">
        <v>53.41</v>
      </c>
      <c r="AA10" s="10">
        <v>54.78</v>
      </c>
      <c r="AB10" s="94">
        <v>26366900</v>
      </c>
      <c r="AC10" s="10">
        <v>54.78</v>
      </c>
      <c r="AD10" s="2">
        <f t="shared" si="0"/>
        <v>3.8000000000000043</v>
      </c>
      <c r="AE10" s="137">
        <f t="shared" si="1"/>
        <v>3.4804909324051003E-3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2.7400000000000001E-2</v>
      </c>
      <c r="W11" s="132">
        <v>42783</v>
      </c>
      <c r="X11" s="10">
        <v>54.3</v>
      </c>
      <c r="Y11" s="10">
        <v>54.72</v>
      </c>
      <c r="Z11" s="10">
        <v>54.08</v>
      </c>
      <c r="AA11" s="10">
        <v>54.59</v>
      </c>
      <c r="AB11" s="94">
        <v>9326800</v>
      </c>
      <c r="AC11" s="10">
        <v>54.59</v>
      </c>
      <c r="AD11" s="2">
        <f t="shared" si="0"/>
        <v>0.64000000000000057</v>
      </c>
      <c r="AE11" s="137">
        <f t="shared" si="1"/>
        <v>5.7111274871040063E-3</v>
      </c>
    </row>
    <row r="12" spans="1:31" x14ac:dyDescent="0.25">
      <c r="H12" s="71"/>
      <c r="W12" s="132">
        <v>42782</v>
      </c>
      <c r="X12" s="10">
        <v>55.08</v>
      </c>
      <c r="Y12" s="10">
        <v>55.16</v>
      </c>
      <c r="Z12" s="10">
        <v>53.92</v>
      </c>
      <c r="AA12" s="10">
        <v>54.28</v>
      </c>
      <c r="AB12" s="94">
        <v>9912500</v>
      </c>
      <c r="AC12" s="10">
        <v>54.28</v>
      </c>
      <c r="AD12" s="2">
        <f t="shared" si="0"/>
        <v>1.2399999999999949</v>
      </c>
      <c r="AE12" s="137">
        <f t="shared" si="1"/>
        <v>-1.3628929674722845E-2</v>
      </c>
    </row>
    <row r="13" spans="1:31" x14ac:dyDescent="0.25">
      <c r="H13" s="71"/>
      <c r="W13" s="132">
        <v>42781</v>
      </c>
      <c r="X13" s="10">
        <v>53.7</v>
      </c>
      <c r="Y13" s="10">
        <v>55.34</v>
      </c>
      <c r="Z13" s="10">
        <v>53.6</v>
      </c>
      <c r="AA13" s="10">
        <v>55.03</v>
      </c>
      <c r="AB13" s="94">
        <v>11814400</v>
      </c>
      <c r="AC13" s="10">
        <v>55.03</v>
      </c>
      <c r="AD13" s="2">
        <f t="shared" si="0"/>
        <v>1.740000000000002</v>
      </c>
      <c r="AE13" s="137">
        <f t="shared" si="1"/>
        <v>2.4576428970396469E-2</v>
      </c>
    </row>
    <row r="14" spans="1:31" x14ac:dyDescent="0.25">
      <c r="H14" s="71"/>
      <c r="W14" s="132">
        <v>42780</v>
      </c>
      <c r="X14" s="10">
        <v>52.31</v>
      </c>
      <c r="Y14" s="10">
        <v>54.27</v>
      </c>
      <c r="Z14" s="10">
        <v>52.09</v>
      </c>
      <c r="AA14" s="10">
        <v>53.71</v>
      </c>
      <c r="AB14" s="94">
        <v>19773400</v>
      </c>
      <c r="AC14" s="10">
        <v>53.71</v>
      </c>
      <c r="AD14" s="2">
        <f t="shared" si="0"/>
        <v>2.1799999999999997</v>
      </c>
      <c r="AE14" s="137">
        <f t="shared" si="1"/>
        <v>3.2289064001537637E-2</v>
      </c>
    </row>
    <row r="15" spans="1:31" x14ac:dyDescent="0.25">
      <c r="H15" s="71"/>
      <c r="W15" s="132">
        <v>42779</v>
      </c>
      <c r="X15" s="10">
        <v>51.83</v>
      </c>
      <c r="Y15" s="10">
        <v>52.09</v>
      </c>
      <c r="Z15" s="10">
        <v>51.62</v>
      </c>
      <c r="AA15" s="10">
        <v>52.03</v>
      </c>
      <c r="AB15" s="94">
        <v>6769700</v>
      </c>
      <c r="AC15" s="10">
        <v>52.03</v>
      </c>
      <c r="AD15" s="2">
        <f t="shared" si="0"/>
        <v>0.47000000000000597</v>
      </c>
      <c r="AE15" s="137">
        <f t="shared" si="1"/>
        <v>7.3572120038722932E-3</v>
      </c>
    </row>
    <row r="16" spans="1:31" x14ac:dyDescent="0.25">
      <c r="H16" s="71"/>
      <c r="W16" s="132">
        <v>42776</v>
      </c>
      <c r="X16" s="10">
        <v>51.61</v>
      </c>
      <c r="Y16" s="10">
        <v>51.97</v>
      </c>
      <c r="Z16" s="10">
        <v>51.52</v>
      </c>
      <c r="AA16" s="10">
        <v>51.65</v>
      </c>
      <c r="AB16" s="94">
        <v>5845600</v>
      </c>
      <c r="AC16" s="10">
        <v>51.65</v>
      </c>
      <c r="AD16" s="2">
        <f t="shared" si="0"/>
        <v>0.44999999999999574</v>
      </c>
      <c r="AE16" s="137">
        <f t="shared" si="1"/>
        <v>2.7179188507087115E-3</v>
      </c>
    </row>
    <row r="17" spans="1:31" x14ac:dyDescent="0.25">
      <c r="W17" s="132">
        <v>42775</v>
      </c>
      <c r="X17" s="10">
        <v>52</v>
      </c>
      <c r="Y17" s="10">
        <v>52.25</v>
      </c>
      <c r="Z17" s="10">
        <v>51.46</v>
      </c>
      <c r="AA17" s="10">
        <v>51.51</v>
      </c>
      <c r="AB17" s="94">
        <v>5813100</v>
      </c>
      <c r="AC17" s="10">
        <v>51.51</v>
      </c>
      <c r="AD17" s="2">
        <f t="shared" si="0"/>
        <v>0.78999999999999915</v>
      </c>
      <c r="AE17" s="137">
        <f t="shared" si="1"/>
        <v>-9.4230769230769784E-3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51.29</v>
      </c>
      <c r="Y18" s="10">
        <v>52.12</v>
      </c>
      <c r="Z18" s="10">
        <v>51.12</v>
      </c>
      <c r="AA18" s="10">
        <v>52</v>
      </c>
      <c r="AB18" s="94">
        <v>12236500</v>
      </c>
      <c r="AC18" s="10">
        <v>52</v>
      </c>
      <c r="AD18" s="2">
        <f t="shared" si="0"/>
        <v>1</v>
      </c>
      <c r="AE18" s="137">
        <f t="shared" si="1"/>
        <v>6.5814943863724551E-3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51.49</v>
      </c>
      <c r="Y19" s="10">
        <v>52.32</v>
      </c>
      <c r="Z19" s="10">
        <v>51.26</v>
      </c>
      <c r="AA19" s="10">
        <v>51.66</v>
      </c>
      <c r="AB19" s="94">
        <v>15747800</v>
      </c>
      <c r="AC19" s="10">
        <v>51.66</v>
      </c>
      <c r="AD19" s="2">
        <f t="shared" si="0"/>
        <v>1.0600000000000023</v>
      </c>
      <c r="AE19" s="137">
        <f t="shared" si="1"/>
        <v>1.2147335423197347E-2</v>
      </c>
    </row>
    <row r="20" spans="1:31" x14ac:dyDescent="0.25">
      <c r="W20" s="132">
        <v>42772</v>
      </c>
      <c r="X20" s="10">
        <v>50.65</v>
      </c>
      <c r="Y20" s="10">
        <v>51.09</v>
      </c>
      <c r="Z20" s="10">
        <v>50.56</v>
      </c>
      <c r="AA20" s="10">
        <v>51.04</v>
      </c>
      <c r="AB20" s="94">
        <v>8263400</v>
      </c>
      <c r="AC20" s="10">
        <v>51.04</v>
      </c>
      <c r="AD20" s="2">
        <f t="shared" si="0"/>
        <v>0.53000000000000114</v>
      </c>
      <c r="AE20" s="137">
        <f t="shared" si="1"/>
        <v>5.1201260338715748E-3</v>
      </c>
    </row>
    <row r="21" spans="1:31" x14ac:dyDescent="0.25">
      <c r="W21" s="132">
        <v>42769</v>
      </c>
      <c r="X21" s="10">
        <v>50.6</v>
      </c>
      <c r="Y21" s="10">
        <v>50.91</v>
      </c>
      <c r="Z21" s="10">
        <v>50.36</v>
      </c>
      <c r="AA21" s="10">
        <v>50.78</v>
      </c>
      <c r="AB21" s="94">
        <v>10934000</v>
      </c>
      <c r="AC21" s="10">
        <v>50.78</v>
      </c>
      <c r="AD21" s="2">
        <f t="shared" si="0"/>
        <v>0.54999999999999716</v>
      </c>
      <c r="AE21" s="137">
        <f t="shared" si="1"/>
        <v>5.5445544554455495E-3</v>
      </c>
    </row>
    <row r="22" spans="1:31" x14ac:dyDescent="0.25">
      <c r="W22" s="132">
        <v>42768</v>
      </c>
      <c r="X22" s="10">
        <v>49.35</v>
      </c>
      <c r="Y22" s="10">
        <v>50.89</v>
      </c>
      <c r="Z22" s="10">
        <v>49.27</v>
      </c>
      <c r="AA22" s="10">
        <v>50.5</v>
      </c>
      <c r="AB22" s="94">
        <v>18610200</v>
      </c>
      <c r="AC22" s="10">
        <v>50.5</v>
      </c>
      <c r="AD22" s="2">
        <f t="shared" si="0"/>
        <v>1.6199999999999974</v>
      </c>
      <c r="AE22" s="137">
        <f t="shared" si="1"/>
        <v>2.4548589977683166E-2</v>
      </c>
    </row>
    <row r="23" spans="1:31" x14ac:dyDescent="0.25">
      <c r="W23" s="132">
        <v>42767</v>
      </c>
      <c r="X23" s="10">
        <v>49.13</v>
      </c>
      <c r="Y23" s="10">
        <v>49.32</v>
      </c>
      <c r="Z23" s="10">
        <v>48.32</v>
      </c>
      <c r="AA23" s="10">
        <v>49.29</v>
      </c>
      <c r="AB23" s="94">
        <v>16021900</v>
      </c>
      <c r="AC23" s="10">
        <v>49.29</v>
      </c>
      <c r="AD23" s="2">
        <f t="shared" si="0"/>
        <v>1</v>
      </c>
      <c r="AE23" s="137">
        <f t="shared" si="1"/>
        <v>2.6444263628966347E-3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48.4</v>
      </c>
      <c r="Y24" s="10">
        <v>49.42</v>
      </c>
      <c r="Z24" s="10">
        <v>48.21</v>
      </c>
      <c r="AA24" s="10">
        <v>49.16</v>
      </c>
      <c r="AB24" s="94">
        <v>15094000</v>
      </c>
      <c r="AC24" s="10">
        <v>49.16</v>
      </c>
      <c r="AD24" s="2">
        <f t="shared" si="0"/>
        <v>1.2100000000000009</v>
      </c>
      <c r="AE24" s="137">
        <f t="shared" si="1"/>
        <v>9.6529061408914263E-3</v>
      </c>
    </row>
    <row r="25" spans="1:31" x14ac:dyDescent="0.25">
      <c r="A25" s="4"/>
      <c r="B25" s="192"/>
      <c r="C25" s="10"/>
      <c r="D25" s="626"/>
      <c r="E25" s="40"/>
      <c r="F25" s="40"/>
      <c r="G25" s="40"/>
      <c r="H25" s="230"/>
      <c r="I25" s="40"/>
      <c r="W25" s="132">
        <v>42765</v>
      </c>
      <c r="X25" s="10">
        <v>48.22</v>
      </c>
      <c r="Y25" s="10">
        <v>49.1</v>
      </c>
      <c r="Z25" s="10">
        <v>47.96</v>
      </c>
      <c r="AA25" s="10">
        <v>48.69</v>
      </c>
      <c r="AB25" s="94">
        <v>15738200</v>
      </c>
      <c r="AC25" s="10">
        <v>48.69</v>
      </c>
      <c r="AD25" s="2">
        <f t="shared" si="0"/>
        <v>1.1400000000000006</v>
      </c>
      <c r="AE25" s="137">
        <f t="shared" si="1"/>
        <v>1.989945538332627E-2</v>
      </c>
    </row>
    <row r="26" spans="1:31" x14ac:dyDescent="0.25">
      <c r="A26" s="4"/>
      <c r="B26" s="192"/>
      <c r="C26" s="10"/>
      <c r="D26" s="626"/>
      <c r="E26" s="40"/>
      <c r="F26" s="40"/>
      <c r="G26" s="40"/>
      <c r="H26" s="230"/>
      <c r="I26" s="40"/>
      <c r="W26" s="132">
        <v>42762</v>
      </c>
      <c r="X26" s="10">
        <v>47.26</v>
      </c>
      <c r="Y26" s="10">
        <v>48.62</v>
      </c>
      <c r="Z26" s="10">
        <v>47.12</v>
      </c>
      <c r="AA26" s="10">
        <v>47.74</v>
      </c>
      <c r="AB26" s="94">
        <v>22918700</v>
      </c>
      <c r="AC26" s="10">
        <v>47.74</v>
      </c>
      <c r="AD26" s="2">
        <f t="shared" si="0"/>
        <v>1.5</v>
      </c>
      <c r="AE26" s="137">
        <f t="shared" si="1"/>
        <v>1.9649722340880027E-2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42761</v>
      </c>
      <c r="X27" s="10">
        <v>48.59</v>
      </c>
      <c r="Y27" s="10">
        <v>49.51</v>
      </c>
      <c r="Z27" s="10">
        <v>46.01</v>
      </c>
      <c r="AA27" s="10">
        <v>46.82</v>
      </c>
      <c r="AB27" s="94">
        <v>44800800</v>
      </c>
      <c r="AC27" s="10">
        <v>46.82</v>
      </c>
      <c r="AD27" s="2">
        <f t="shared" si="0"/>
        <v>3.5</v>
      </c>
      <c r="AE27" s="137">
        <f t="shared" si="1"/>
        <v>-5.5095862764883874E-2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42760</v>
      </c>
      <c r="X28" s="10">
        <v>49.34</v>
      </c>
      <c r="Y28" s="10">
        <v>49.57</v>
      </c>
      <c r="Z28" s="10">
        <v>48.8</v>
      </c>
      <c r="AA28" s="10">
        <v>49.55</v>
      </c>
      <c r="AB28" s="94">
        <v>15978500</v>
      </c>
      <c r="AC28" s="10">
        <v>49.55</v>
      </c>
      <c r="AD28" s="2">
        <f t="shared" si="0"/>
        <v>0.77000000000000313</v>
      </c>
      <c r="AE28" s="137">
        <f t="shared" si="1"/>
        <v>1.2050653594771088E-2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42759</v>
      </c>
      <c r="X29" s="10">
        <v>50.05</v>
      </c>
      <c r="Y29" s="10">
        <v>50.14</v>
      </c>
      <c r="Z29" s="10">
        <v>48.93</v>
      </c>
      <c r="AA29" s="10">
        <v>48.96</v>
      </c>
      <c r="AB29" s="94">
        <v>17172800</v>
      </c>
      <c r="AC29" s="10">
        <v>48.96</v>
      </c>
      <c r="AD29" s="2">
        <f t="shared" si="0"/>
        <v>1.2100000000000009</v>
      </c>
      <c r="AE29" s="137">
        <f t="shared" si="1"/>
        <v>-2.079999999999993E-2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42758</v>
      </c>
      <c r="X30" s="10">
        <v>49.53</v>
      </c>
      <c r="Y30" s="10">
        <v>50.31</v>
      </c>
      <c r="Z30" s="10">
        <v>49.15</v>
      </c>
      <c r="AA30" s="10">
        <v>50</v>
      </c>
      <c r="AB30" s="94">
        <v>23886100</v>
      </c>
      <c r="AC30" s="10">
        <v>50</v>
      </c>
      <c r="AD30" s="2">
        <f t="shared" si="0"/>
        <v>1.1600000000000037</v>
      </c>
      <c r="AE30" s="137">
        <f t="shared" si="1"/>
        <v>1.5640869388584333E-2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42755</v>
      </c>
      <c r="X31" s="10">
        <v>55.49</v>
      </c>
      <c r="Y31" s="10">
        <v>55.49</v>
      </c>
      <c r="Z31" s="10">
        <v>48.92</v>
      </c>
      <c r="AA31" s="10">
        <v>49.23</v>
      </c>
      <c r="AB31" s="94">
        <v>77021200</v>
      </c>
      <c r="AC31" s="10">
        <v>49.23</v>
      </c>
      <c r="AD31" s="2">
        <f t="shared" si="0"/>
        <v>6.57</v>
      </c>
      <c r="AE31" s="137">
        <f t="shared" si="1"/>
        <v>-0.1128131194809876</v>
      </c>
    </row>
    <row r="32" spans="1:31" x14ac:dyDescent="0.25">
      <c r="A32" s="4"/>
      <c r="B32" s="192"/>
      <c r="C32" s="10"/>
      <c r="D32" s="40"/>
      <c r="E32" s="40"/>
      <c r="F32" s="40"/>
      <c r="G32" s="40"/>
      <c r="H32" s="230"/>
      <c r="I32" s="40"/>
      <c r="W32" s="132">
        <v>42754</v>
      </c>
      <c r="X32" s="10">
        <v>56.1</v>
      </c>
      <c r="Y32" s="10">
        <v>56.31</v>
      </c>
      <c r="Z32" s="10">
        <v>55.34</v>
      </c>
      <c r="AA32" s="10">
        <v>55.49</v>
      </c>
      <c r="AB32" s="94">
        <v>7122300</v>
      </c>
      <c r="AC32" s="10">
        <v>55.49</v>
      </c>
      <c r="AD32" s="2">
        <f t="shared" si="0"/>
        <v>0.96999999999999886</v>
      </c>
      <c r="AE32" s="137">
        <f t="shared" si="1"/>
        <v>-1.0344212591403612E-2</v>
      </c>
    </row>
    <row r="33" spans="1:31" x14ac:dyDescent="0.25">
      <c r="A33" s="4"/>
      <c r="B33" s="192"/>
      <c r="C33" s="10"/>
      <c r="D33" s="40"/>
      <c r="E33" s="40"/>
      <c r="F33" s="40"/>
      <c r="G33" s="40"/>
      <c r="H33" s="230"/>
      <c r="I33" s="40"/>
      <c r="W33" s="132">
        <v>42753</v>
      </c>
      <c r="X33" s="10">
        <v>56.51</v>
      </c>
      <c r="Y33" s="10">
        <v>56.55</v>
      </c>
      <c r="Z33" s="10">
        <v>55.89</v>
      </c>
      <c r="AA33" s="10">
        <v>56.07</v>
      </c>
      <c r="AB33" s="94">
        <v>6639200</v>
      </c>
      <c r="AC33" s="10">
        <v>56.07</v>
      </c>
      <c r="AD33" s="2">
        <f t="shared" si="0"/>
        <v>0.65999999999999659</v>
      </c>
      <c r="AE33" s="137">
        <f t="shared" si="1"/>
        <v>-3.7313432835821558E-3</v>
      </c>
    </row>
    <row r="34" spans="1:31" x14ac:dyDescent="0.25">
      <c r="A34" s="4"/>
      <c r="B34" s="192"/>
      <c r="C34" s="10"/>
      <c r="D34" s="626"/>
      <c r="E34" s="40"/>
      <c r="F34" s="40"/>
      <c r="G34" s="40"/>
      <c r="H34" s="230"/>
      <c r="I34" s="40"/>
      <c r="W34" s="132">
        <v>42752</v>
      </c>
      <c r="X34" s="10">
        <v>55.89</v>
      </c>
      <c r="Y34" s="10">
        <v>56.58</v>
      </c>
      <c r="Z34" s="10">
        <v>55.21</v>
      </c>
      <c r="AA34" s="10">
        <v>56.28</v>
      </c>
      <c r="AB34" s="94">
        <v>10416300</v>
      </c>
      <c r="AC34" s="10">
        <v>56.28</v>
      </c>
      <c r="AD34" s="2">
        <f t="shared" si="0"/>
        <v>1.3699999999999974</v>
      </c>
      <c r="AE34" s="137">
        <f t="shared" si="1"/>
        <v>1.0672358591248265E-3</v>
      </c>
    </row>
    <row r="35" spans="1:31" x14ac:dyDescent="0.25">
      <c r="A35" s="4"/>
      <c r="B35" s="192"/>
      <c r="C35" s="10"/>
      <c r="D35" s="626"/>
      <c r="E35" s="40"/>
      <c r="F35" s="40"/>
      <c r="G35" s="40"/>
      <c r="H35" s="230"/>
      <c r="I35" s="40"/>
      <c r="W35" s="132">
        <v>42748</v>
      </c>
      <c r="X35" s="10">
        <v>56.56</v>
      </c>
      <c r="Y35" s="10">
        <v>56.73</v>
      </c>
      <c r="Z35" s="10">
        <v>56.05</v>
      </c>
      <c r="AA35" s="10">
        <v>56.22</v>
      </c>
      <c r="AB35" s="94">
        <v>7660200</v>
      </c>
      <c r="AC35" s="10">
        <v>56.22</v>
      </c>
      <c r="AD35" s="2">
        <f t="shared" si="0"/>
        <v>0.67999999999999972</v>
      </c>
      <c r="AE35" s="137">
        <f t="shared" si="1"/>
        <v>-5.8355437665782439E-3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42747</v>
      </c>
      <c r="X36" s="10">
        <v>56.5</v>
      </c>
      <c r="Y36" s="10">
        <v>56.78</v>
      </c>
      <c r="Z36" s="10">
        <v>56.02</v>
      </c>
      <c r="AA36" s="10">
        <v>56.55</v>
      </c>
      <c r="AB36" s="94">
        <v>9977900</v>
      </c>
      <c r="AC36" s="10">
        <v>56.55</v>
      </c>
      <c r="AD36" s="2">
        <f t="shared" si="0"/>
        <v>0.75999999999999801</v>
      </c>
      <c r="AE36" s="137">
        <f t="shared" si="1"/>
        <v>-4.4014084507042472E-3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42746</v>
      </c>
      <c r="X37" s="10">
        <v>58.12</v>
      </c>
      <c r="Y37" s="10">
        <v>58.87</v>
      </c>
      <c r="Z37" s="10">
        <v>56.53</v>
      </c>
      <c r="AA37" s="10">
        <v>56.8</v>
      </c>
      <c r="AB37" s="94">
        <v>20497900</v>
      </c>
      <c r="AC37" s="10">
        <v>56.8</v>
      </c>
      <c r="AD37" s="2">
        <f t="shared" si="0"/>
        <v>2.3399999999999963</v>
      </c>
      <c r="AE37" s="137">
        <f t="shared" si="1"/>
        <v>-5.3017672557519213E-2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42745</v>
      </c>
      <c r="X38" s="10">
        <v>59.78</v>
      </c>
      <c r="Y38" s="10">
        <v>60.45</v>
      </c>
      <c r="Z38" s="10">
        <v>59.72</v>
      </c>
      <c r="AA38" s="10">
        <v>59.98</v>
      </c>
      <c r="AB38" s="94">
        <v>6103700</v>
      </c>
      <c r="AC38" s="10">
        <v>59.98</v>
      </c>
      <c r="AD38" s="2">
        <f t="shared" si="0"/>
        <v>0.73000000000000398</v>
      </c>
      <c r="AE38" s="137">
        <f t="shared" si="1"/>
        <v>4.1855014230705034E-3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59.75</v>
      </c>
      <c r="Y39" s="10">
        <v>59.92</v>
      </c>
      <c r="Z39" s="10">
        <v>59.65</v>
      </c>
      <c r="AA39" s="10">
        <v>59.73</v>
      </c>
      <c r="AB39" s="94">
        <v>5256500</v>
      </c>
      <c r="AC39" s="10">
        <v>59.73</v>
      </c>
      <c r="AD39" s="2">
        <f t="shared" si="0"/>
        <v>0.27000000000000313</v>
      </c>
      <c r="AE39" s="137">
        <f t="shared" si="1"/>
        <v>-3.6697247706423131E-3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42741</v>
      </c>
      <c r="X40" s="10">
        <v>60.04</v>
      </c>
      <c r="Y40" s="10">
        <v>60.33</v>
      </c>
      <c r="Z40" s="10">
        <v>58.85</v>
      </c>
      <c r="AA40" s="10">
        <v>59.95</v>
      </c>
      <c r="AB40" s="94">
        <v>10104600</v>
      </c>
      <c r="AC40" s="10">
        <v>59.95</v>
      </c>
      <c r="AD40" s="2">
        <f t="shared" si="0"/>
        <v>1.4799999999999969</v>
      </c>
      <c r="AE40" s="137">
        <f t="shared" si="1"/>
        <v>-2.9935140528853932E-3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64.152000000000001</v>
      </c>
      <c r="Q41" s="2"/>
      <c r="W41" s="132">
        <v>42740</v>
      </c>
      <c r="X41" s="10">
        <v>59.39</v>
      </c>
      <c r="Y41" s="10">
        <v>60.42</v>
      </c>
      <c r="Z41" s="10">
        <v>59.31</v>
      </c>
      <c r="AA41" s="10">
        <v>60.13</v>
      </c>
      <c r="AB41" s="94">
        <v>8422300</v>
      </c>
      <c r="AC41" s="10">
        <v>60.13</v>
      </c>
      <c r="AD41" s="2">
        <f t="shared" si="0"/>
        <v>1.1099999999999994</v>
      </c>
      <c r="AE41" s="137">
        <f t="shared" si="1"/>
        <v>1.6739939127494052E-2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63.568800000000003</v>
      </c>
      <c r="Q42" s="2"/>
      <c r="T42" s="90" t="s">
        <v>113</v>
      </c>
      <c r="W42" s="132">
        <v>42739</v>
      </c>
      <c r="X42" s="10">
        <v>59.46</v>
      </c>
      <c r="Y42" s="10">
        <v>59.75</v>
      </c>
      <c r="Z42" s="10">
        <v>59.03</v>
      </c>
      <c r="AA42" s="10">
        <v>59.14</v>
      </c>
      <c r="AB42" s="94">
        <v>6703400</v>
      </c>
      <c r="AC42" s="10">
        <v>59.14</v>
      </c>
      <c r="AD42" s="2">
        <f t="shared" si="0"/>
        <v>0.71999999999999886</v>
      </c>
      <c r="AE42" s="137" t="e">
        <f t="shared" si="1"/>
        <v>#DIV/0!</v>
      </c>
    </row>
    <row r="43" spans="1:31" ht="15.75" thickTop="1" x14ac:dyDescent="0.25">
      <c r="O43" s="82">
        <v>1.08</v>
      </c>
      <c r="P43" s="82">
        <f t="shared" si="2"/>
        <v>62.985600000000005</v>
      </c>
      <c r="Q43" s="2"/>
      <c r="T43" s="127" t="s">
        <v>98</v>
      </c>
      <c r="U43" s="128">
        <v>56.86</v>
      </c>
      <c r="V43" s="537"/>
      <c r="W43" s="132">
        <v>42739</v>
      </c>
      <c r="X43" s="10" t="s">
        <v>362</v>
      </c>
      <c r="Y43" s="10"/>
      <c r="Z43" s="10"/>
      <c r="AA43" s="10"/>
      <c r="AB43" s="94"/>
      <c r="AC43" s="10"/>
      <c r="AD43" s="2">
        <f t="shared" si="0"/>
        <v>0</v>
      </c>
      <c r="AE43" s="137">
        <f t="shared" si="1"/>
        <v>-1</v>
      </c>
    </row>
    <row r="44" spans="1:31" x14ac:dyDescent="0.25">
      <c r="O44" s="82">
        <v>1.07</v>
      </c>
      <c r="P44" s="82">
        <f t="shared" si="2"/>
        <v>62.402400000000007</v>
      </c>
      <c r="Q44" s="2"/>
      <c r="T44" s="92" t="s">
        <v>99</v>
      </c>
      <c r="U44" s="129">
        <v>56.74</v>
      </c>
      <c r="W44" s="132">
        <v>42738</v>
      </c>
      <c r="X44" s="10">
        <v>58.78</v>
      </c>
      <c r="Y44" s="10">
        <v>59.68</v>
      </c>
      <c r="Z44" s="10">
        <v>58.58</v>
      </c>
      <c r="AA44" s="10">
        <v>59.45</v>
      </c>
      <c r="AB44" s="94">
        <v>10061700</v>
      </c>
      <c r="AC44" s="10">
        <v>59.06</v>
      </c>
      <c r="AD44" s="2">
        <f t="shared" si="0"/>
        <v>1.1000000000000014</v>
      </c>
      <c r="AE44" s="137">
        <f t="shared" si="1"/>
        <v>1.7223561832586887E-2</v>
      </c>
    </row>
    <row r="45" spans="1:31" x14ac:dyDescent="0.25">
      <c r="O45" s="82">
        <v>1.06</v>
      </c>
      <c r="P45" s="82">
        <f t="shared" si="2"/>
        <v>61.819200000000002</v>
      </c>
      <c r="Q45" s="2"/>
      <c r="T45" s="92" t="s">
        <v>100</v>
      </c>
      <c r="U45" s="129" t="s">
        <v>129</v>
      </c>
      <c r="W45" s="132">
        <v>42734</v>
      </c>
      <c r="X45" s="10">
        <v>58.86</v>
      </c>
      <c r="Y45" s="10">
        <v>58.96</v>
      </c>
      <c r="Z45" s="10">
        <v>58.21</v>
      </c>
      <c r="AA45" s="10">
        <v>58.44</v>
      </c>
      <c r="AB45" s="94">
        <v>7008900</v>
      </c>
      <c r="AC45" s="10">
        <v>58.06</v>
      </c>
      <c r="AD45" s="2">
        <f t="shared" si="0"/>
        <v>0.75</v>
      </c>
      <c r="AE45" s="137">
        <f t="shared" si="1"/>
        <v>-7.690992992650747E-3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61.236000000000004</v>
      </c>
      <c r="Q46" s="2"/>
      <c r="T46" s="92" t="s">
        <v>101</v>
      </c>
      <c r="U46" s="129" t="s">
        <v>129</v>
      </c>
      <c r="W46" s="132">
        <v>42733</v>
      </c>
      <c r="X46" s="10">
        <v>58.81</v>
      </c>
      <c r="Y46" s="10">
        <v>59.19</v>
      </c>
      <c r="Z46" s="10">
        <v>58.63</v>
      </c>
      <c r="AA46" s="10">
        <v>58.9</v>
      </c>
      <c r="AB46" s="94">
        <v>3642700</v>
      </c>
      <c r="AC46" s="10">
        <v>58.51</v>
      </c>
      <c r="AD46" s="2">
        <f t="shared" si="0"/>
        <v>0.55999999999999517</v>
      </c>
      <c r="AE46" s="137">
        <f t="shared" si="1"/>
        <v>4.808517946075952E-3</v>
      </c>
    </row>
    <row r="47" spans="1:31" x14ac:dyDescent="0.25">
      <c r="A47" s="384" t="s">
        <v>1</v>
      </c>
      <c r="B47" s="384" t="s">
        <v>2</v>
      </c>
      <c r="C47" s="384" t="s">
        <v>4</v>
      </c>
      <c r="D47" s="386" t="s">
        <v>5</v>
      </c>
      <c r="E47" s="386" t="s">
        <v>94</v>
      </c>
      <c r="F47" s="386" t="s">
        <v>60</v>
      </c>
      <c r="G47" s="384" t="s">
        <v>3</v>
      </c>
      <c r="H47" s="384" t="s">
        <v>6</v>
      </c>
      <c r="I47" s="386" t="s">
        <v>7</v>
      </c>
      <c r="J47" s="386" t="s">
        <v>95</v>
      </c>
      <c r="K47" s="386" t="s">
        <v>61</v>
      </c>
      <c r="L47" s="384" t="s">
        <v>37</v>
      </c>
      <c r="M47" s="384" t="s">
        <v>38</v>
      </c>
      <c r="O47" s="82">
        <v>1.04</v>
      </c>
      <c r="P47" s="82">
        <f t="shared" si="2"/>
        <v>60.652799999999999</v>
      </c>
      <c r="Q47" s="2"/>
      <c r="T47" s="92" t="s">
        <v>102</v>
      </c>
      <c r="U47" s="129">
        <v>55.37</v>
      </c>
      <c r="W47" s="132">
        <v>42732</v>
      </c>
      <c r="X47" s="10">
        <v>59.29</v>
      </c>
      <c r="Y47" s="10">
        <v>59.44</v>
      </c>
      <c r="Z47" s="10">
        <v>58.54</v>
      </c>
      <c r="AA47" s="10">
        <v>58.61</v>
      </c>
      <c r="AB47" s="94">
        <v>4249100</v>
      </c>
      <c r="AC47" s="10">
        <v>58.23</v>
      </c>
      <c r="AD47" s="2">
        <f t="shared" si="0"/>
        <v>0.89999999999999858</v>
      </c>
      <c r="AE47" s="137">
        <f t="shared" si="1"/>
        <v>-1.2046148625721065E-2</v>
      </c>
    </row>
    <row r="48" spans="1:31" x14ac:dyDescent="0.25">
      <c r="A48" s="387" t="s">
        <v>313</v>
      </c>
      <c r="B48" s="377">
        <v>42669</v>
      </c>
      <c r="C48" s="378">
        <v>20</v>
      </c>
      <c r="D48" s="379">
        <v>49.18</v>
      </c>
      <c r="E48" s="379">
        <v>0</v>
      </c>
      <c r="F48" s="379">
        <f t="shared" ref="F48:F53" si="3">C48*D48+E48</f>
        <v>983.6</v>
      </c>
      <c r="G48" s="377">
        <v>42710</v>
      </c>
      <c r="H48" s="382">
        <v>20</v>
      </c>
      <c r="I48" s="379">
        <v>55.88</v>
      </c>
      <c r="J48" s="379">
        <v>0.02</v>
      </c>
      <c r="K48" s="379">
        <f>I48*H48-J48</f>
        <v>1117.5800000000002</v>
      </c>
      <c r="L48" s="377"/>
      <c r="M48" s="378"/>
      <c r="O48" s="82">
        <v>1.03</v>
      </c>
      <c r="P48" s="82">
        <f t="shared" si="2"/>
        <v>60.069600000000001</v>
      </c>
      <c r="Q48" s="2"/>
      <c r="T48" s="92" t="s">
        <v>103</v>
      </c>
      <c r="U48" s="129">
        <v>0.95877900000000005</v>
      </c>
      <c r="W48" s="132">
        <v>42731</v>
      </c>
      <c r="X48" s="10">
        <v>59.61</v>
      </c>
      <c r="Y48" s="10">
        <v>59.75</v>
      </c>
      <c r="Z48" s="10">
        <v>59.29</v>
      </c>
      <c r="AA48" s="10">
        <v>59.33</v>
      </c>
      <c r="AB48" s="94">
        <v>4251900</v>
      </c>
      <c r="AC48" s="10">
        <v>58.94</v>
      </c>
      <c r="AD48" s="2">
        <f t="shared" si="0"/>
        <v>0.46000000000000085</v>
      </c>
      <c r="AE48" s="137">
        <f t="shared" si="1"/>
        <v>-4.7281323877068626E-3</v>
      </c>
    </row>
    <row r="49" spans="1:31" x14ac:dyDescent="0.25">
      <c r="A49" s="388" t="s">
        <v>71</v>
      </c>
      <c r="B49" s="377">
        <v>42669</v>
      </c>
      <c r="C49" s="378">
        <v>30</v>
      </c>
      <c r="D49" s="379">
        <v>49.18</v>
      </c>
      <c r="E49" s="379">
        <v>0</v>
      </c>
      <c r="F49" s="379">
        <f t="shared" si="3"/>
        <v>1475.4</v>
      </c>
      <c r="G49" s="377">
        <v>42713</v>
      </c>
      <c r="H49" s="382">
        <v>30</v>
      </c>
      <c r="I49" s="379">
        <v>56.28</v>
      </c>
      <c r="J49" s="379">
        <v>0.04</v>
      </c>
      <c r="K49" s="379">
        <f>I49*H49-J49</f>
        <v>1688.3600000000001</v>
      </c>
      <c r="L49" s="378"/>
      <c r="M49" s="378"/>
      <c r="O49" s="82">
        <v>1.02</v>
      </c>
      <c r="P49" s="82">
        <f t="shared" si="2"/>
        <v>59.486400000000003</v>
      </c>
      <c r="Q49" s="2"/>
      <c r="T49" s="92" t="s">
        <v>122</v>
      </c>
      <c r="U49" s="129" t="s">
        <v>417</v>
      </c>
      <c r="W49" s="132">
        <v>42727</v>
      </c>
      <c r="X49" s="10">
        <v>58.85</v>
      </c>
      <c r="Y49" s="10">
        <v>59.93</v>
      </c>
      <c r="Z49" s="10">
        <v>58.77</v>
      </c>
      <c r="AA49" s="10">
        <v>59.61</v>
      </c>
      <c r="AB49" s="94">
        <v>5412800</v>
      </c>
      <c r="AC49" s="10">
        <v>59.22</v>
      </c>
      <c r="AD49" s="2">
        <f t="shared" si="0"/>
        <v>1.1599999999999966</v>
      </c>
      <c r="AE49" s="137">
        <f t="shared" si="1"/>
        <v>1.4562275141339676E-2</v>
      </c>
    </row>
    <row r="50" spans="1:31" x14ac:dyDescent="0.25">
      <c r="A50" s="378"/>
      <c r="B50" s="627">
        <v>42711</v>
      </c>
      <c r="C50" s="628">
        <v>20</v>
      </c>
      <c r="D50" s="629">
        <v>55.06</v>
      </c>
      <c r="E50" s="629">
        <v>0</v>
      </c>
      <c r="F50" s="629">
        <f t="shared" si="3"/>
        <v>1101.2</v>
      </c>
      <c r="G50" s="627">
        <v>42780</v>
      </c>
      <c r="H50" s="630">
        <v>20</v>
      </c>
      <c r="I50" s="629">
        <v>52.48</v>
      </c>
      <c r="J50" s="629">
        <v>0.02</v>
      </c>
      <c r="K50" s="629">
        <f>I50*H50-J50</f>
        <v>1049.58</v>
      </c>
      <c r="L50" s="627">
        <v>42768</v>
      </c>
      <c r="M50" s="629">
        <v>7.8</v>
      </c>
      <c r="O50" s="82">
        <v>1.01</v>
      </c>
      <c r="P50" s="82">
        <f t="shared" si="2"/>
        <v>58.903199999999998</v>
      </c>
      <c r="Q50" s="2"/>
      <c r="T50" s="92"/>
      <c r="U50" s="129"/>
      <c r="W50" s="132">
        <v>42726</v>
      </c>
      <c r="X50" s="10">
        <v>58.74</v>
      </c>
      <c r="Y50" s="10">
        <v>58.98</v>
      </c>
      <c r="Z50" s="10">
        <v>58.52</v>
      </c>
      <c r="AA50" s="10">
        <v>58.76</v>
      </c>
      <c r="AB50" s="94">
        <v>4812000</v>
      </c>
      <c r="AC50" s="10">
        <v>58.37</v>
      </c>
      <c r="AD50" s="2">
        <f t="shared" si="0"/>
        <v>0.45999999999999375</v>
      </c>
      <c r="AE50" s="137">
        <f t="shared" si="1"/>
        <v>1.2006861063464935E-3</v>
      </c>
    </row>
    <row r="51" spans="1:31" x14ac:dyDescent="0.25">
      <c r="A51" s="378"/>
      <c r="B51" s="627">
        <v>42755</v>
      </c>
      <c r="C51" s="628">
        <v>20</v>
      </c>
      <c r="D51" s="629">
        <v>51.33</v>
      </c>
      <c r="E51" s="629">
        <v>0</v>
      </c>
      <c r="F51" s="629">
        <f t="shared" si="3"/>
        <v>1026.5999999999999</v>
      </c>
      <c r="G51" s="627">
        <v>42787</v>
      </c>
      <c r="H51" s="630">
        <v>80</v>
      </c>
      <c r="I51" s="629">
        <v>55.58</v>
      </c>
      <c r="J51" s="629">
        <v>0.1</v>
      </c>
      <c r="K51" s="629">
        <f>I51*H51-J51</f>
        <v>4446.2999999999993</v>
      </c>
      <c r="L51" s="378"/>
      <c r="M51" s="378"/>
      <c r="O51" s="82">
        <v>1</v>
      </c>
      <c r="P51" s="82">
        <f t="shared" si="2"/>
        <v>58.32</v>
      </c>
      <c r="Q51" s="2"/>
      <c r="T51" s="92" t="s">
        <v>105</v>
      </c>
      <c r="U51" s="129" t="s">
        <v>617</v>
      </c>
      <c r="W51" s="132">
        <v>42725</v>
      </c>
      <c r="X51" s="10">
        <v>59.23</v>
      </c>
      <c r="Y51" s="10">
        <v>59.58</v>
      </c>
      <c r="Z51" s="10">
        <v>58.68</v>
      </c>
      <c r="AA51" s="10">
        <v>58.69</v>
      </c>
      <c r="AB51" s="94">
        <v>4471200</v>
      </c>
      <c r="AC51" s="10">
        <v>58.3</v>
      </c>
      <c r="AD51" s="2">
        <f t="shared" si="0"/>
        <v>0.89999999999999858</v>
      </c>
      <c r="AE51" s="137">
        <f t="shared" si="1"/>
        <v>-7.3216414098415949E-3</v>
      </c>
    </row>
    <row r="52" spans="1:31" x14ac:dyDescent="0.25">
      <c r="A52" s="378"/>
      <c r="B52" s="627">
        <v>42755</v>
      </c>
      <c r="C52" s="628">
        <v>20</v>
      </c>
      <c r="D52" s="629">
        <v>51.44</v>
      </c>
      <c r="E52" s="629">
        <v>0</v>
      </c>
      <c r="F52" s="629">
        <f t="shared" si="3"/>
        <v>1028.8</v>
      </c>
      <c r="G52" s="628"/>
      <c r="H52" s="630"/>
      <c r="I52" s="629"/>
      <c r="J52" s="629"/>
      <c r="K52" s="629"/>
      <c r="L52" s="378"/>
      <c r="M52" s="378"/>
      <c r="O52" s="82">
        <v>0.99</v>
      </c>
      <c r="P52" s="82">
        <f t="shared" si="2"/>
        <v>57.736800000000002</v>
      </c>
      <c r="Q52" s="2"/>
      <c r="T52" s="92" t="s">
        <v>106</v>
      </c>
      <c r="U52" s="129" t="s">
        <v>409</v>
      </c>
      <c r="W52" s="132">
        <v>42724</v>
      </c>
      <c r="X52" s="10">
        <v>59.3</v>
      </c>
      <c r="Y52" s="10">
        <v>59.53</v>
      </c>
      <c r="Z52" s="10">
        <v>58.94</v>
      </c>
      <c r="AA52" s="10">
        <v>59.12</v>
      </c>
      <c r="AB52" s="94">
        <v>3918800</v>
      </c>
      <c r="AC52" s="10">
        <v>58.73</v>
      </c>
      <c r="AD52" s="2">
        <f t="shared" si="0"/>
        <v>0.59000000000000341</v>
      </c>
      <c r="AE52" s="137">
        <f t="shared" si="1"/>
        <v>-5.0821616127393332E-3</v>
      </c>
    </row>
    <row r="53" spans="1:31" x14ac:dyDescent="0.25">
      <c r="A53" s="378"/>
      <c r="B53" s="627">
        <v>42755</v>
      </c>
      <c r="C53" s="628">
        <v>40</v>
      </c>
      <c r="D53" s="629">
        <v>49.68</v>
      </c>
      <c r="E53" s="629">
        <v>0</v>
      </c>
      <c r="F53" s="629">
        <f t="shared" si="3"/>
        <v>1987.2</v>
      </c>
      <c r="G53" s="628"/>
      <c r="H53" s="630"/>
      <c r="I53" s="629"/>
      <c r="J53" s="629"/>
      <c r="K53" s="629"/>
      <c r="L53" s="378"/>
      <c r="M53" s="378"/>
      <c r="O53" s="82">
        <v>0.98</v>
      </c>
      <c r="P53" s="82">
        <f t="shared" si="2"/>
        <v>57.153599999999997</v>
      </c>
      <c r="Q53" s="2"/>
      <c r="T53" s="92" t="s">
        <v>107</v>
      </c>
      <c r="U53" s="130">
        <v>9657427</v>
      </c>
      <c r="W53" s="132">
        <v>42723</v>
      </c>
      <c r="X53" s="10">
        <v>59.04</v>
      </c>
      <c r="Y53" s="10">
        <v>59.85</v>
      </c>
      <c r="Z53" s="10">
        <v>59.02</v>
      </c>
      <c r="AA53" s="10">
        <v>59.42</v>
      </c>
      <c r="AB53" s="94">
        <v>8399100</v>
      </c>
      <c r="AC53" s="10">
        <v>59.03</v>
      </c>
      <c r="AD53" s="2">
        <f t="shared" si="0"/>
        <v>0.82999999999999829</v>
      </c>
      <c r="AE53" s="137">
        <f t="shared" si="1"/>
        <v>1.3564560439560447E-2</v>
      </c>
    </row>
    <row r="54" spans="1:31" x14ac:dyDescent="0.25">
      <c r="A54" s="378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4">
        <v>20</v>
      </c>
      <c r="I54" s="3">
        <v>57.3</v>
      </c>
      <c r="J54" s="3">
        <v>0.02</v>
      </c>
      <c r="K54" s="3">
        <f>H54*I54-J54</f>
        <v>1145.98</v>
      </c>
      <c r="L54" s="378"/>
      <c r="M54" s="378"/>
      <c r="O54" s="82">
        <v>0.97</v>
      </c>
      <c r="P54" s="82">
        <f t="shared" si="2"/>
        <v>56.570399999999999</v>
      </c>
      <c r="T54" s="92" t="s">
        <v>110</v>
      </c>
      <c r="U54" s="130">
        <v>12630600</v>
      </c>
      <c r="W54" s="132">
        <v>42720</v>
      </c>
      <c r="X54" s="10">
        <v>58.92</v>
      </c>
      <c r="Y54" s="10">
        <v>59.05</v>
      </c>
      <c r="Z54" s="10">
        <v>58.2</v>
      </c>
      <c r="AA54" s="10">
        <v>58.62</v>
      </c>
      <c r="AB54" s="94">
        <v>12218200</v>
      </c>
      <c r="AC54" s="10">
        <v>58.24</v>
      </c>
      <c r="AD54" s="2">
        <f t="shared" si="0"/>
        <v>0.84999999999999432</v>
      </c>
      <c r="AE54" s="137">
        <f t="shared" si="1"/>
        <v>-5.1484468851903387E-4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2"/>
        <v>55.987200000000001</v>
      </c>
      <c r="T55" s="92" t="s">
        <v>108</v>
      </c>
      <c r="U55" s="129" t="s">
        <v>618</v>
      </c>
      <c r="W55" s="132">
        <v>42719</v>
      </c>
      <c r="X55" s="10">
        <v>58.51</v>
      </c>
      <c r="Y55" s="10">
        <v>59.8</v>
      </c>
      <c r="Z55" s="10">
        <v>58.28</v>
      </c>
      <c r="AA55" s="10">
        <v>58.65</v>
      </c>
      <c r="AB55" s="94">
        <v>13210800</v>
      </c>
      <c r="AC55" s="10">
        <v>58.27</v>
      </c>
      <c r="AD55" s="2">
        <f t="shared" si="0"/>
        <v>1.519999999999996</v>
      </c>
      <c r="AE55" s="137">
        <f t="shared" si="1"/>
        <v>2.5808671713696274E-3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2"/>
        <v>55.403999999999996</v>
      </c>
      <c r="T56" s="92" t="s">
        <v>111</v>
      </c>
      <c r="U56" s="129">
        <v>21.61</v>
      </c>
      <c r="W56" s="132">
        <v>42718</v>
      </c>
      <c r="X56" s="10">
        <v>57.3</v>
      </c>
      <c r="Y56" s="10">
        <v>58.52</v>
      </c>
      <c r="Z56" s="10">
        <v>57.27</v>
      </c>
      <c r="AA56" s="10">
        <v>58.5</v>
      </c>
      <c r="AB56" s="94">
        <v>12603900</v>
      </c>
      <c r="AC56" s="10">
        <v>58.12</v>
      </c>
      <c r="AD56" s="2">
        <f t="shared" si="0"/>
        <v>1.25</v>
      </c>
      <c r="AE56" s="137">
        <f t="shared" si="1"/>
        <v>2.3419616129600307E-2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2"/>
        <v>54.820799999999998</v>
      </c>
      <c r="T57" s="92" t="s">
        <v>112</v>
      </c>
      <c r="U57" s="129">
        <v>2.65</v>
      </c>
      <c r="W57" s="132">
        <v>42717</v>
      </c>
      <c r="X57" s="10">
        <v>57</v>
      </c>
      <c r="Y57" s="10">
        <v>57.34</v>
      </c>
      <c r="Z57" s="10">
        <v>56.7</v>
      </c>
      <c r="AA57" s="10">
        <v>57.17</v>
      </c>
      <c r="AB57" s="94">
        <v>6902800</v>
      </c>
      <c r="AC57" s="10">
        <v>56.79</v>
      </c>
      <c r="AD57" s="2">
        <f t="shared" si="0"/>
        <v>0.64000000000000057</v>
      </c>
      <c r="AE57" s="137">
        <f t="shared" si="1"/>
        <v>1.0857956568173677E-2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54.2376</v>
      </c>
      <c r="T58" s="92" t="s">
        <v>109</v>
      </c>
      <c r="U58" s="129" t="s">
        <v>619</v>
      </c>
      <c r="W58" s="132">
        <v>42716</v>
      </c>
      <c r="X58" s="10">
        <v>56.83</v>
      </c>
      <c r="Y58" s="10">
        <v>56.97</v>
      </c>
      <c r="Z58" s="10">
        <v>56.4</v>
      </c>
      <c r="AA58" s="10">
        <v>56.55</v>
      </c>
      <c r="AB58" s="94">
        <v>8829300</v>
      </c>
      <c r="AC58" s="10">
        <v>56.18</v>
      </c>
      <c r="AD58" s="2">
        <f t="shared" si="0"/>
        <v>0.57000000000000028</v>
      </c>
      <c r="AE58" s="137">
        <f t="shared" si="1"/>
        <v>-8.6465502029292596E-3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2"/>
        <v>53.654400000000003</v>
      </c>
      <c r="W59" s="132">
        <v>42713</v>
      </c>
      <c r="X59" s="10">
        <v>55.16</v>
      </c>
      <c r="Y59" s="10">
        <v>57.18</v>
      </c>
      <c r="Z59" s="10">
        <v>55.1</v>
      </c>
      <c r="AA59" s="10">
        <v>57.04</v>
      </c>
      <c r="AB59" s="94">
        <v>11782800</v>
      </c>
      <c r="AC59" s="10">
        <v>56.67</v>
      </c>
      <c r="AD59" s="2">
        <f t="shared" si="0"/>
        <v>2.0799999999999983</v>
      </c>
      <c r="AE59" s="137">
        <f t="shared" si="1"/>
        <v>3.2804811372334708E-2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2"/>
        <v>53.071200000000005</v>
      </c>
      <c r="W60" s="132">
        <v>42712</v>
      </c>
      <c r="X60" s="10">
        <v>54.93</v>
      </c>
      <c r="Y60" s="10">
        <v>55.42</v>
      </c>
      <c r="Z60" s="10">
        <v>54.78</v>
      </c>
      <c r="AA60" s="10">
        <v>55.23</v>
      </c>
      <c r="AB60" s="94">
        <v>8191200</v>
      </c>
      <c r="AC60" s="10">
        <v>54.87</v>
      </c>
      <c r="AD60" s="2">
        <f t="shared" si="0"/>
        <v>0.64000000000000057</v>
      </c>
      <c r="AE60" s="137">
        <f t="shared" si="1"/>
        <v>-1.8221574344035041E-4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2"/>
        <v>52.488</v>
      </c>
      <c r="W61" s="132">
        <v>42711</v>
      </c>
      <c r="X61" s="10">
        <v>55.55</v>
      </c>
      <c r="Y61" s="10">
        <v>55.68</v>
      </c>
      <c r="Z61" s="10">
        <v>54.36</v>
      </c>
      <c r="AA61" s="10">
        <v>55.24</v>
      </c>
      <c r="AB61" s="94">
        <v>12210800</v>
      </c>
      <c r="AC61" s="10">
        <v>54.88</v>
      </c>
      <c r="AD61" s="2">
        <f t="shared" si="0"/>
        <v>1.3200000000000003</v>
      </c>
      <c r="AE61" s="137">
        <f t="shared" si="1"/>
        <v>-1.4013654329859793E-2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42710</v>
      </c>
      <c r="X62" s="10">
        <v>55.71</v>
      </c>
      <c r="Y62" s="10">
        <v>56.04</v>
      </c>
      <c r="Z62" s="10">
        <v>55.56</v>
      </c>
      <c r="AA62" s="10">
        <v>56.03</v>
      </c>
      <c r="AB62" s="94">
        <v>5924400</v>
      </c>
      <c r="AC62" s="10">
        <v>55.66</v>
      </c>
      <c r="AD62" s="2">
        <f t="shared" si="0"/>
        <v>0.47999999999999687</v>
      </c>
      <c r="AE62" s="137">
        <f t="shared" si="1"/>
        <v>8.5160355136799648E-3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9"/>
      <c r="J63" s="379"/>
      <c r="K63" s="379"/>
      <c r="L63" s="378"/>
      <c r="M63" s="378"/>
      <c r="W63" s="132">
        <v>42709</v>
      </c>
      <c r="X63" s="10">
        <v>55.86</v>
      </c>
      <c r="Y63" s="10">
        <v>55.96</v>
      </c>
      <c r="Z63" s="10">
        <v>55.23</v>
      </c>
      <c r="AA63" s="10">
        <v>55.55</v>
      </c>
      <c r="AB63" s="94">
        <v>9904400</v>
      </c>
      <c r="AC63" s="10">
        <v>55.19</v>
      </c>
      <c r="AD63" s="2">
        <f t="shared" si="0"/>
        <v>0.73000000000000398</v>
      </c>
      <c r="AE63" s="137">
        <f t="shared" si="1"/>
        <v>-7.195538765965237E-3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42706</v>
      </c>
      <c r="X64" s="10">
        <v>55.69</v>
      </c>
      <c r="Y64" s="10">
        <v>56.11</v>
      </c>
      <c r="Z64" s="10">
        <v>55.3</v>
      </c>
      <c r="AA64" s="10">
        <v>55.96</v>
      </c>
      <c r="AB64" s="94">
        <v>9281500</v>
      </c>
      <c r="AC64" s="10">
        <v>55.59</v>
      </c>
      <c r="AD64" s="2">
        <f t="shared" si="0"/>
        <v>0.81000000000000227</v>
      </c>
      <c r="AE64" s="137">
        <f t="shared" si="1"/>
        <v>2.8865235432076197E-3</v>
      </c>
    </row>
    <row r="65" spans="1:31" ht="15.75" thickBot="1" x14ac:dyDescent="0.3">
      <c r="A65" s="467" t="s">
        <v>197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>SumByColor($A$19,M48:M63)</f>
        <v>0</v>
      </c>
      <c r="W65" s="132">
        <v>42705</v>
      </c>
      <c r="X65" s="10">
        <v>55.94</v>
      </c>
      <c r="Y65" s="10">
        <v>56.27</v>
      </c>
      <c r="Z65" s="10">
        <v>55.44</v>
      </c>
      <c r="AA65" s="10">
        <v>55.8</v>
      </c>
      <c r="AB65" s="94">
        <v>12719600</v>
      </c>
      <c r="AC65" s="10">
        <v>55.43</v>
      </c>
      <c r="AD65" s="2">
        <f t="shared" si="0"/>
        <v>0.8300000000000054</v>
      </c>
      <c r="AE65" s="137">
        <f t="shared" si="1"/>
        <v>-1.1414303549134974E-2</v>
      </c>
    </row>
    <row r="66" spans="1:31" x14ac:dyDescent="0.25">
      <c r="W66" s="132">
        <v>42704</v>
      </c>
      <c r="X66" s="10">
        <v>56.29</v>
      </c>
      <c r="Y66" s="10">
        <v>56.69</v>
      </c>
      <c r="Z66" s="10">
        <v>56</v>
      </c>
      <c r="AA66" s="10">
        <v>56.44</v>
      </c>
      <c r="AB66" s="94">
        <v>16418900</v>
      </c>
      <c r="AC66" s="10">
        <v>56.07</v>
      </c>
      <c r="AD66" s="2">
        <f t="shared" si="0"/>
        <v>0.68999999999999773</v>
      </c>
      <c r="AE66" s="137">
        <f t="shared" si="1"/>
        <v>1.4288265761743801E-3</v>
      </c>
    </row>
    <row r="67" spans="1:31" x14ac:dyDescent="0.25">
      <c r="W67" s="132">
        <v>42703</v>
      </c>
      <c r="X67" s="10">
        <v>56.62</v>
      </c>
      <c r="Y67" s="10">
        <v>56.89</v>
      </c>
      <c r="Z67" s="10">
        <v>56.14</v>
      </c>
      <c r="AA67" s="10">
        <v>56.36</v>
      </c>
      <c r="AB67" s="94">
        <v>9818900</v>
      </c>
      <c r="AC67" s="10">
        <v>55.99</v>
      </c>
      <c r="AD67" s="2">
        <f>Y67-Z67</f>
        <v>0.75</v>
      </c>
      <c r="AE67" s="137" t="e">
        <f>AC67/#REF!-1</f>
        <v>#REF!</v>
      </c>
    </row>
    <row r="68" spans="1:31" x14ac:dyDescent="0.25">
      <c r="W68" s="132">
        <v>42702</v>
      </c>
      <c r="X68" s="10">
        <v>56.92</v>
      </c>
      <c r="Y68" s="10">
        <v>56.96</v>
      </c>
      <c r="Z68" s="10">
        <v>56.25</v>
      </c>
      <c r="AA68" s="10">
        <v>56.51</v>
      </c>
      <c r="AB68" s="94">
        <v>8724200</v>
      </c>
      <c r="AC68" s="10">
        <v>56.14</v>
      </c>
      <c r="AD68" s="2" t="e">
        <f>#REF!-#REF!</f>
        <v>#REF!</v>
      </c>
      <c r="AE68" s="137" t="e">
        <f>#REF!/AC70-1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1:31" x14ac:dyDescent="0.25">
      <c r="B70" s="190" t="s">
        <v>114</v>
      </c>
      <c r="C70" s="190" t="s">
        <v>147</v>
      </c>
      <c r="D70" s="191" t="s">
        <v>146</v>
      </c>
      <c r="E70" s="193" t="s">
        <v>148</v>
      </c>
      <c r="F70" s="193" t="s">
        <v>65</v>
      </c>
      <c r="G70" s="228" t="s">
        <v>152</v>
      </c>
      <c r="H70" s="228" t="s">
        <v>88</v>
      </c>
      <c r="I70" s="228" t="s">
        <v>155</v>
      </c>
      <c r="W70" s="132"/>
      <c r="X70" s="10"/>
      <c r="Y70" s="10"/>
      <c r="Z70" s="10"/>
      <c r="AA70" s="10"/>
      <c r="AB70" s="94"/>
      <c r="AC70" s="10"/>
    </row>
    <row r="71" spans="1:31" x14ac:dyDescent="0.25">
      <c r="A71" s="476" t="s">
        <v>374</v>
      </c>
      <c r="B71" s="475">
        <v>42754</v>
      </c>
      <c r="C71" s="476">
        <v>20</v>
      </c>
      <c r="D71" s="631">
        <v>55.06</v>
      </c>
      <c r="E71" s="477">
        <v>55.49</v>
      </c>
      <c r="F71" s="477">
        <f t="shared" ref="F71:F78" si="4">C71*(E71-D71)</f>
        <v>8.5999999999999943</v>
      </c>
      <c r="G71" s="477">
        <f t="shared" ref="G71:G78" si="5">D71*C71</f>
        <v>1101.2</v>
      </c>
      <c r="H71" s="632">
        <f t="shared" ref="H71:H78" si="6">(E71-D71)/D71</f>
        <v>7.8096621867054065E-3</v>
      </c>
      <c r="I71" s="477"/>
    </row>
    <row r="72" spans="1:31" x14ac:dyDescent="0.25">
      <c r="A72" s="476" t="s">
        <v>388</v>
      </c>
      <c r="B72" s="475">
        <v>42755</v>
      </c>
      <c r="C72" s="476">
        <v>100</v>
      </c>
      <c r="D72" s="631">
        <v>51.438000000000002</v>
      </c>
      <c r="E72" s="477">
        <v>49.23</v>
      </c>
      <c r="F72" s="477">
        <f t="shared" si="4"/>
        <v>-220.80000000000055</v>
      </c>
      <c r="G72" s="477">
        <f t="shared" si="5"/>
        <v>5143.8</v>
      </c>
      <c r="H72" s="632">
        <f t="shared" si="6"/>
        <v>-4.2925463664994855E-2</v>
      </c>
      <c r="I72" s="477">
        <v>50</v>
      </c>
    </row>
    <row r="73" spans="1:31" x14ac:dyDescent="0.25">
      <c r="A73" s="476" t="s">
        <v>406</v>
      </c>
      <c r="B73" s="475">
        <v>42761</v>
      </c>
      <c r="C73" s="476">
        <v>120</v>
      </c>
      <c r="D73" s="631">
        <v>50.715000000000003</v>
      </c>
      <c r="E73" s="477">
        <v>46.82</v>
      </c>
      <c r="F73" s="477">
        <f t="shared" si="4"/>
        <v>-467.40000000000038</v>
      </c>
      <c r="G73" s="477">
        <f t="shared" si="5"/>
        <v>6085.8</v>
      </c>
      <c r="H73" s="632">
        <f t="shared" si="6"/>
        <v>-7.680173518682841E-2</v>
      </c>
      <c r="I73" s="477"/>
    </row>
    <row r="74" spans="1:31" x14ac:dyDescent="0.25">
      <c r="A74" s="476" t="s">
        <v>406</v>
      </c>
      <c r="B74" s="475">
        <v>42764</v>
      </c>
      <c r="C74" s="476">
        <v>120</v>
      </c>
      <c r="D74" s="631">
        <v>50.715000000000003</v>
      </c>
      <c r="E74" s="477">
        <v>47.74</v>
      </c>
      <c r="F74" s="477">
        <f t="shared" si="4"/>
        <v>-357.00000000000017</v>
      </c>
      <c r="G74" s="477">
        <f t="shared" si="5"/>
        <v>6085.8</v>
      </c>
      <c r="H74" s="632">
        <f t="shared" si="6"/>
        <v>-5.866114561766738E-2</v>
      </c>
      <c r="I74" s="477"/>
    </row>
    <row r="75" spans="1:31" x14ac:dyDescent="0.25">
      <c r="A75" s="476" t="s">
        <v>433</v>
      </c>
      <c r="B75" s="475">
        <v>42768</v>
      </c>
      <c r="C75" s="476">
        <v>120</v>
      </c>
      <c r="D75" s="631">
        <v>50.65</v>
      </c>
      <c r="E75" s="477">
        <v>50.5</v>
      </c>
      <c r="F75" s="477">
        <f t="shared" si="4"/>
        <v>-17.999999999999829</v>
      </c>
      <c r="G75" s="477">
        <f t="shared" si="5"/>
        <v>6078</v>
      </c>
      <c r="H75" s="632">
        <f t="shared" si="6"/>
        <v>-2.9615004935833874E-3</v>
      </c>
      <c r="I75" s="477"/>
    </row>
    <row r="76" spans="1:31" x14ac:dyDescent="0.25">
      <c r="A76" s="476" t="s">
        <v>477</v>
      </c>
      <c r="B76" s="475">
        <v>42780</v>
      </c>
      <c r="C76" s="476">
        <v>100</v>
      </c>
      <c r="D76" s="631">
        <v>50.284199999999998</v>
      </c>
      <c r="E76" s="477">
        <v>53.71</v>
      </c>
      <c r="F76" s="477">
        <f t="shared" si="4"/>
        <v>342.58000000000027</v>
      </c>
      <c r="G76" s="477">
        <f t="shared" si="5"/>
        <v>5028.42</v>
      </c>
      <c r="H76" s="632">
        <f t="shared" si="6"/>
        <v>6.8128756150043199E-2</v>
      </c>
      <c r="I76" s="477">
        <v>50</v>
      </c>
    </row>
    <row r="77" spans="1:31" x14ac:dyDescent="0.25">
      <c r="A77" s="681" t="s">
        <v>500</v>
      </c>
      <c r="B77" s="680">
        <v>42787</v>
      </c>
      <c r="C77" s="681">
        <v>20</v>
      </c>
      <c r="D77" s="682">
        <v>47.1</v>
      </c>
      <c r="E77" s="679">
        <v>54.78</v>
      </c>
      <c r="F77" s="679">
        <f t="shared" si="4"/>
        <v>153.6</v>
      </c>
      <c r="G77" s="679">
        <f t="shared" si="5"/>
        <v>942</v>
      </c>
      <c r="H77" s="683">
        <f t="shared" si="6"/>
        <v>0.16305732484076432</v>
      </c>
      <c r="I77" s="679"/>
    </row>
    <row r="78" spans="1:31" x14ac:dyDescent="0.25">
      <c r="A78" s="681" t="s">
        <v>529</v>
      </c>
      <c r="B78" s="680">
        <v>42792</v>
      </c>
      <c r="C78" s="681">
        <v>20</v>
      </c>
      <c r="D78" s="682">
        <v>47.1</v>
      </c>
      <c r="E78" s="679">
        <v>54.78</v>
      </c>
      <c r="F78" s="679">
        <f t="shared" si="4"/>
        <v>153.6</v>
      </c>
      <c r="G78" s="679">
        <f t="shared" si="5"/>
        <v>942</v>
      </c>
      <c r="H78" s="683">
        <f t="shared" si="6"/>
        <v>0.16305732484076432</v>
      </c>
      <c r="I78" s="679"/>
    </row>
    <row r="79" spans="1:31" x14ac:dyDescent="0.25">
      <c r="A79" s="681"/>
      <c r="B79" s="680">
        <v>42796</v>
      </c>
      <c r="C79" s="681">
        <v>0</v>
      </c>
      <c r="D79" s="682"/>
      <c r="E79" s="679"/>
      <c r="F79" s="679">
        <v>203.98</v>
      </c>
      <c r="G79" s="679"/>
      <c r="H79" s="683"/>
      <c r="I79" s="684"/>
    </row>
    <row r="80" spans="1:31" x14ac:dyDescent="0.25">
      <c r="B80" s="192"/>
      <c r="C80" s="10"/>
      <c r="D80" s="626"/>
      <c r="E80" s="40"/>
      <c r="F80" s="40"/>
      <c r="G80" s="40"/>
      <c r="H80" s="230"/>
      <c r="I80" s="40"/>
    </row>
    <row r="81" spans="2:9" x14ac:dyDescent="0.25">
      <c r="B81" s="192"/>
      <c r="C81" s="10"/>
      <c r="D81" s="626"/>
      <c r="E81" s="40"/>
      <c r="F81" s="40"/>
      <c r="G81" s="40"/>
      <c r="H81" s="230"/>
      <c r="I81" s="40"/>
    </row>
    <row r="82" spans="2:9" x14ac:dyDescent="0.25">
      <c r="B82" s="192"/>
      <c r="C82" s="10"/>
      <c r="D82" s="40"/>
      <c r="E82" s="40"/>
      <c r="F82" s="40"/>
      <c r="G82" s="40"/>
      <c r="H82" s="230"/>
      <c r="I82" s="40"/>
    </row>
    <row r="83" spans="2:9" x14ac:dyDescent="0.25">
      <c r="B83" s="192"/>
      <c r="C83" s="10"/>
      <c r="D83" s="40"/>
      <c r="E83" s="40"/>
      <c r="F83" s="40"/>
      <c r="G83" s="40"/>
      <c r="H83" s="230"/>
      <c r="I83" s="40"/>
    </row>
    <row r="84" spans="2:9" x14ac:dyDescent="0.25">
      <c r="B84" s="192"/>
      <c r="C84" s="10"/>
      <c r="D84" s="40"/>
      <c r="E84" s="40"/>
      <c r="F84" s="40"/>
      <c r="G84" s="40"/>
      <c r="H84" s="230"/>
      <c r="I84" s="40"/>
    </row>
    <row r="85" spans="2:9" x14ac:dyDescent="0.25">
      <c r="B85" s="192"/>
      <c r="C85" s="10"/>
      <c r="D85" s="40"/>
      <c r="E85" s="40"/>
      <c r="F85" s="40"/>
      <c r="G85" s="40"/>
      <c r="H85" s="230"/>
      <c r="I85" s="40"/>
    </row>
    <row r="86" spans="2:9" x14ac:dyDescent="0.25">
      <c r="B86" s="192"/>
      <c r="C86" s="10"/>
      <c r="D86" s="40"/>
      <c r="E86" s="40"/>
      <c r="F86" s="40"/>
      <c r="G86" s="40"/>
      <c r="H86" s="230"/>
      <c r="I86" s="40"/>
    </row>
    <row r="87" spans="2:9" x14ac:dyDescent="0.25">
      <c r="B87" s="192"/>
      <c r="C87" s="10"/>
      <c r="D87" s="40"/>
      <c r="E87" s="40"/>
      <c r="F87" s="40"/>
      <c r="G87" s="40"/>
      <c r="H87" s="230"/>
      <c r="I87" s="40"/>
    </row>
    <row r="88" spans="2:9" x14ac:dyDescent="0.25">
      <c r="B88" s="192"/>
      <c r="C88" s="10"/>
      <c r="D88" s="40"/>
      <c r="E88" s="40"/>
      <c r="F88" s="40"/>
      <c r="G88" s="40"/>
      <c r="H88" s="230"/>
      <c r="I88" s="40"/>
    </row>
    <row r="208" spans="21:21" x14ac:dyDescent="0.25">
      <c r="U208" s="234"/>
    </row>
    <row r="209" spans="21:21" x14ac:dyDescent="0.25">
      <c r="U209" s="234"/>
    </row>
    <row r="281" spans="21:21" x14ac:dyDescent="0.25">
      <c r="U281" s="28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981" priority="29">
      <formula>F25&gt;0</formula>
    </cfRule>
    <cfRule type="expression" dxfId="980" priority="30">
      <formula>F25&lt;0</formula>
    </cfRule>
  </conditionalFormatting>
  <conditionalFormatting sqref="Q7">
    <cfRule type="expression" dxfId="979" priority="27">
      <formula>Q7&gt;0</formula>
    </cfRule>
    <cfRule type="expression" dxfId="978" priority="28">
      <formula>Q7&lt;0</formula>
    </cfRule>
  </conditionalFormatting>
  <conditionalFormatting sqref="Q8">
    <cfRule type="expression" dxfId="977" priority="25">
      <formula>Q8&gt;0</formula>
    </cfRule>
    <cfRule type="expression" dxfId="976" priority="26">
      <formula>Q8&lt;0</formula>
    </cfRule>
  </conditionalFormatting>
  <conditionalFormatting sqref="Q10">
    <cfRule type="expression" dxfId="975" priority="13">
      <formula>Q10&gt;0</formula>
    </cfRule>
    <cfRule type="expression" dxfId="974" priority="14">
      <formula>Q10&lt;0</formula>
    </cfRule>
  </conditionalFormatting>
  <conditionalFormatting sqref="M46">
    <cfRule type="expression" dxfId="973" priority="11">
      <formula>M46&gt;0</formula>
    </cfRule>
    <cfRule type="expression" dxfId="972" priority="12">
      <formula>M46&lt;0</formula>
    </cfRule>
  </conditionalFormatting>
  <conditionalFormatting sqref="F80:F88 H80:H88">
    <cfRule type="expression" dxfId="971" priority="9">
      <formula>F80&gt;0</formula>
    </cfRule>
    <cfRule type="expression" dxfId="970" priority="10">
      <formula>F80&lt;0</formula>
    </cfRule>
  </conditionalFormatting>
  <conditionalFormatting sqref="F75:F79">
    <cfRule type="expression" dxfId="969" priority="7">
      <formula>F75&gt;0</formula>
    </cfRule>
    <cfRule type="expression" dxfId="968" priority="8">
      <formula>F75&lt;0</formula>
    </cfRule>
  </conditionalFormatting>
  <conditionalFormatting sqref="H75:H79">
    <cfRule type="expression" dxfId="967" priority="5">
      <formula>H75&gt;0</formula>
    </cfRule>
    <cfRule type="expression" dxfId="966" priority="6">
      <formula>H75&lt;0</formula>
    </cfRule>
  </conditionalFormatting>
  <conditionalFormatting sqref="F71:F74">
    <cfRule type="expression" dxfId="965" priority="3">
      <formula>F71&gt;0</formula>
    </cfRule>
    <cfRule type="expression" dxfId="964" priority="4">
      <formula>F71&lt;0</formula>
    </cfRule>
  </conditionalFormatting>
  <conditionalFormatting sqref="H71:H74">
    <cfRule type="expression" dxfId="963" priority="1">
      <formula>H71&gt;0</formula>
    </cfRule>
    <cfRule type="expression" dxfId="962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257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42797</v>
      </c>
      <c r="X2" s="10">
        <v>63.55</v>
      </c>
      <c r="Y2" s="10">
        <v>63.55</v>
      </c>
      <c r="Z2" s="10">
        <v>63.13</v>
      </c>
      <c r="AA2" s="10">
        <v>63.36</v>
      </c>
      <c r="AB2" s="94">
        <v>1325800</v>
      </c>
      <c r="AC2" s="10">
        <v>63.36</v>
      </c>
      <c r="AD2" s="2">
        <f>Y2-Z2</f>
        <v>0.4199999999999946</v>
      </c>
      <c r="AE2" s="137">
        <f>AC2/AC3-1</f>
        <v>-6.740868474682582E-3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64.22</v>
      </c>
      <c r="T3" s="1"/>
      <c r="W3" s="132">
        <v>42796</v>
      </c>
      <c r="X3" s="10">
        <v>63.24</v>
      </c>
      <c r="Y3" s="10">
        <v>64.5</v>
      </c>
      <c r="Z3" s="10">
        <v>63.07</v>
      </c>
      <c r="AA3" s="10">
        <v>63.79</v>
      </c>
      <c r="AB3" s="94">
        <v>2152100</v>
      </c>
      <c r="AC3" s="10">
        <v>63.79</v>
      </c>
      <c r="AD3" s="2">
        <f t="shared" ref="AD3:AD66" si="0">Y3-Z3</f>
        <v>1.4299999999999997</v>
      </c>
      <c r="AE3" s="137">
        <f t="shared" ref="AE3:AE66" si="1">AC3/AC4-1</f>
        <v>6.4689176396339754E-3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64.22</v>
      </c>
      <c r="R4" s="499">
        <v>2.9999999999999997E-4</v>
      </c>
      <c r="T4" s="162"/>
      <c r="U4" s="1"/>
      <c r="W4" s="132">
        <v>42795</v>
      </c>
      <c r="X4" s="10">
        <v>62.82</v>
      </c>
      <c r="Y4" s="10">
        <v>63.59</v>
      </c>
      <c r="Z4" s="10">
        <v>62.79</v>
      </c>
      <c r="AA4" s="10">
        <v>63.38</v>
      </c>
      <c r="AB4" s="94">
        <v>1379400</v>
      </c>
      <c r="AC4" s="10">
        <v>63.38</v>
      </c>
      <c r="AD4" s="2">
        <f t="shared" si="0"/>
        <v>0.80000000000000426</v>
      </c>
      <c r="AE4" s="137">
        <f t="shared" si="1"/>
        <v>1.2460063897763662E-2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42794</v>
      </c>
      <c r="X5" s="10">
        <v>62.8</v>
      </c>
      <c r="Y5" s="10">
        <v>63.11</v>
      </c>
      <c r="Z5" s="10">
        <v>62.31</v>
      </c>
      <c r="AA5" s="10">
        <v>62.6</v>
      </c>
      <c r="AB5" s="94">
        <v>1585700</v>
      </c>
      <c r="AC5" s="10">
        <v>62.6</v>
      </c>
      <c r="AD5" s="2">
        <f t="shared" si="0"/>
        <v>0.79999999999999716</v>
      </c>
      <c r="AE5" s="137">
        <f t="shared" si="1"/>
        <v>-4.136175628380534E-3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42793</v>
      </c>
      <c r="X6" s="10">
        <v>62.76</v>
      </c>
      <c r="Y6" s="10">
        <v>63.12</v>
      </c>
      <c r="Z6" s="10">
        <v>62.46</v>
      </c>
      <c r="AA6" s="10">
        <v>62.86</v>
      </c>
      <c r="AB6" s="94">
        <v>858000</v>
      </c>
      <c r="AC6" s="10">
        <v>62.86</v>
      </c>
      <c r="AD6" s="2">
        <f t="shared" si="0"/>
        <v>0.65999999999999659</v>
      </c>
      <c r="AE6" s="137">
        <f t="shared" si="1"/>
        <v>-1.5905837442342641E-4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42790</v>
      </c>
      <c r="X7" s="10">
        <v>62.5</v>
      </c>
      <c r="Y7" s="10">
        <v>62.89</v>
      </c>
      <c r="Z7" s="10">
        <v>62.39</v>
      </c>
      <c r="AA7" s="10">
        <v>62.87</v>
      </c>
      <c r="AB7" s="94">
        <v>1360600</v>
      </c>
      <c r="AC7" s="10">
        <v>62.87</v>
      </c>
      <c r="AD7" s="2">
        <f t="shared" si="0"/>
        <v>0.5</v>
      </c>
      <c r="AE7" s="137">
        <f t="shared" si="1"/>
        <v>2.7113237639553311E-3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42789</v>
      </c>
      <c r="X8" s="10">
        <v>63.05</v>
      </c>
      <c r="Y8" s="10">
        <v>63.13</v>
      </c>
      <c r="Z8" s="10">
        <v>62.64</v>
      </c>
      <c r="AA8" s="10">
        <v>62.7</v>
      </c>
      <c r="AB8" s="94">
        <v>1122200</v>
      </c>
      <c r="AC8" s="10">
        <v>62.7</v>
      </c>
      <c r="AD8" s="2">
        <f t="shared" si="0"/>
        <v>0.49000000000000199</v>
      </c>
      <c r="AE8" s="137">
        <f t="shared" si="1"/>
        <v>-4.9198539914298012E-3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42788</v>
      </c>
      <c r="X9" s="10">
        <v>62.5</v>
      </c>
      <c r="Y9" s="10">
        <v>63.15</v>
      </c>
      <c r="Z9" s="10">
        <v>62.5</v>
      </c>
      <c r="AA9" s="10">
        <v>63.01</v>
      </c>
      <c r="AB9" s="94">
        <v>1346000</v>
      </c>
      <c r="AC9" s="10">
        <v>63.01</v>
      </c>
      <c r="AD9" s="2">
        <f t="shared" si="0"/>
        <v>0.64999999999999858</v>
      </c>
      <c r="AE9" s="137">
        <f t="shared" si="1"/>
        <v>5.9067688378033889E-3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42787</v>
      </c>
      <c r="X10" s="10">
        <v>62.5</v>
      </c>
      <c r="Y10" s="10">
        <v>63.15</v>
      </c>
      <c r="Z10" s="10">
        <v>62.46</v>
      </c>
      <c r="AA10" s="10">
        <v>62.64</v>
      </c>
      <c r="AB10" s="94">
        <v>1802000</v>
      </c>
      <c r="AC10" s="10">
        <v>62.64</v>
      </c>
      <c r="AD10" s="2">
        <f t="shared" si="0"/>
        <v>0.68999999999999773</v>
      </c>
      <c r="AE10" s="137">
        <f t="shared" si="1"/>
        <v>4.8123195380171957E-3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63.83</v>
      </c>
      <c r="Y11" s="10">
        <v>63.87</v>
      </c>
      <c r="Z11" s="10">
        <v>62</v>
      </c>
      <c r="AA11" s="10">
        <v>62.34</v>
      </c>
      <c r="AB11" s="94">
        <v>3977800</v>
      </c>
      <c r="AC11" s="10">
        <v>62.34</v>
      </c>
      <c r="AD11" s="2">
        <f t="shared" si="0"/>
        <v>1.8699999999999974</v>
      </c>
      <c r="AE11" s="137">
        <f t="shared" si="1"/>
        <v>-2.9576587795765774E-2</v>
      </c>
    </row>
    <row r="12" spans="1:31" x14ac:dyDescent="0.25">
      <c r="H12" s="71"/>
      <c r="W12" s="132">
        <v>42782</v>
      </c>
      <c r="X12" s="10">
        <v>64.22</v>
      </c>
      <c r="Y12" s="10">
        <v>64.77</v>
      </c>
      <c r="Z12" s="10">
        <v>63.75</v>
      </c>
      <c r="AA12" s="10">
        <v>64.239999999999995</v>
      </c>
      <c r="AB12" s="94">
        <v>1756200</v>
      </c>
      <c r="AC12" s="10">
        <v>64.239999999999995</v>
      </c>
      <c r="AD12" s="2">
        <f t="shared" si="0"/>
        <v>1.019999999999996</v>
      </c>
      <c r="AE12" s="137">
        <f t="shared" si="1"/>
        <v>5.3208137715179404E-3</v>
      </c>
    </row>
    <row r="13" spans="1:31" x14ac:dyDescent="0.25">
      <c r="H13" s="71"/>
      <c r="W13" s="132">
        <v>42781</v>
      </c>
      <c r="X13" s="10">
        <v>63.3</v>
      </c>
      <c r="Y13" s="10">
        <v>64.099999999999994</v>
      </c>
      <c r="Z13" s="10">
        <v>63.21</v>
      </c>
      <c r="AA13" s="10">
        <v>63.9</v>
      </c>
      <c r="AB13" s="94">
        <v>1365400</v>
      </c>
      <c r="AC13" s="10">
        <v>63.9</v>
      </c>
      <c r="AD13" s="2">
        <f t="shared" si="0"/>
        <v>0.88999999999999346</v>
      </c>
      <c r="AE13" s="137">
        <f t="shared" si="1"/>
        <v>5.5074744295831035E-3</v>
      </c>
    </row>
    <row r="14" spans="1:31" x14ac:dyDescent="0.25">
      <c r="H14" s="71"/>
      <c r="W14" s="132">
        <v>42780</v>
      </c>
      <c r="X14" s="10">
        <v>63.75</v>
      </c>
      <c r="Y14" s="10">
        <v>64.13</v>
      </c>
      <c r="Z14" s="10">
        <v>63.37</v>
      </c>
      <c r="AA14" s="10">
        <v>63.55</v>
      </c>
      <c r="AB14" s="94">
        <v>2180900</v>
      </c>
      <c r="AC14" s="10">
        <v>63.55</v>
      </c>
      <c r="AD14" s="2">
        <f t="shared" si="0"/>
        <v>0.75999999999999801</v>
      </c>
      <c r="AE14" s="137">
        <f t="shared" si="1"/>
        <v>-7.8616352201266171E-4</v>
      </c>
    </row>
    <row r="15" spans="1:31" x14ac:dyDescent="0.25">
      <c r="H15" s="71"/>
      <c r="W15" s="132">
        <v>42779</v>
      </c>
      <c r="X15" s="10">
        <v>64.2</v>
      </c>
      <c r="Y15" s="10">
        <v>64.2</v>
      </c>
      <c r="Z15" s="10">
        <v>63.35</v>
      </c>
      <c r="AA15" s="10">
        <v>63.6</v>
      </c>
      <c r="AB15" s="94">
        <v>1758800</v>
      </c>
      <c r="AC15" s="10">
        <v>63.6</v>
      </c>
      <c r="AD15" s="2">
        <f t="shared" si="0"/>
        <v>0.85000000000000142</v>
      </c>
      <c r="AE15" s="137">
        <f t="shared" si="1"/>
        <v>-5.4730258014074051E-3</v>
      </c>
    </row>
    <row r="16" spans="1:31" x14ac:dyDescent="0.25">
      <c r="H16" s="71"/>
      <c r="W16" s="132">
        <v>42776</v>
      </c>
      <c r="X16" s="10">
        <v>63.85</v>
      </c>
      <c r="Y16" s="10">
        <v>64.28</v>
      </c>
      <c r="Z16" s="10">
        <v>63.5</v>
      </c>
      <c r="AA16" s="10">
        <v>63.95</v>
      </c>
      <c r="AB16" s="94">
        <v>2502100</v>
      </c>
      <c r="AC16" s="10">
        <v>63.95</v>
      </c>
      <c r="AD16" s="2">
        <f t="shared" si="0"/>
        <v>0.78000000000000114</v>
      </c>
      <c r="AE16" s="137">
        <f t="shared" si="1"/>
        <v>1.566170712607784E-3</v>
      </c>
    </row>
    <row r="17" spans="1:31" x14ac:dyDescent="0.25">
      <c r="W17" s="132">
        <v>42775</v>
      </c>
      <c r="X17" s="10">
        <v>63.83</v>
      </c>
      <c r="Y17" s="10">
        <v>64.58</v>
      </c>
      <c r="Z17" s="10">
        <v>63.61</v>
      </c>
      <c r="AA17" s="10">
        <v>63.85</v>
      </c>
      <c r="AB17" s="94">
        <v>4070600</v>
      </c>
      <c r="AC17" s="10">
        <v>63.85</v>
      </c>
      <c r="AD17" s="2">
        <f t="shared" si="0"/>
        <v>0.96999999999999886</v>
      </c>
      <c r="AE17" s="137">
        <f t="shared" si="1"/>
        <v>4.7206923682141522E-3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66.58</v>
      </c>
      <c r="Y18" s="10">
        <v>66.59</v>
      </c>
      <c r="Z18" s="10">
        <v>61.54</v>
      </c>
      <c r="AA18" s="10">
        <v>63.55</v>
      </c>
      <c r="AB18" s="94">
        <v>15935600</v>
      </c>
      <c r="AC18" s="10">
        <v>63.55</v>
      </c>
      <c r="AD18" s="2">
        <f t="shared" si="0"/>
        <v>5.0500000000000043</v>
      </c>
      <c r="AE18" s="137">
        <f t="shared" si="1"/>
        <v>-0.1064398200224973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70</v>
      </c>
      <c r="Y19" s="10">
        <v>71.34</v>
      </c>
      <c r="Z19" s="10">
        <v>69.58</v>
      </c>
      <c r="AA19" s="10">
        <v>71.12</v>
      </c>
      <c r="AB19" s="94">
        <v>3662900</v>
      </c>
      <c r="AC19" s="10">
        <v>71.12</v>
      </c>
      <c r="AD19" s="2">
        <f t="shared" si="0"/>
        <v>1.7600000000000051</v>
      </c>
      <c r="AE19" s="137">
        <f t="shared" si="1"/>
        <v>2.0226653277865658E-2</v>
      </c>
    </row>
    <row r="20" spans="1:31" x14ac:dyDescent="0.25">
      <c r="W20" s="132">
        <v>42772</v>
      </c>
      <c r="X20" s="10">
        <v>69.22</v>
      </c>
      <c r="Y20" s="10">
        <v>69.709999999999994</v>
      </c>
      <c r="Z20" s="10">
        <v>68.63</v>
      </c>
      <c r="AA20" s="10">
        <v>69.709999999999994</v>
      </c>
      <c r="AB20" s="94">
        <v>1620200</v>
      </c>
      <c r="AC20" s="10">
        <v>69.709999999999994</v>
      </c>
      <c r="AD20" s="2">
        <f t="shared" si="0"/>
        <v>1.0799999999999983</v>
      </c>
      <c r="AE20" s="137">
        <f t="shared" si="1"/>
        <v>2.3005032350826848E-3</v>
      </c>
    </row>
    <row r="21" spans="1:31" x14ac:dyDescent="0.25">
      <c r="W21" s="132">
        <v>42769</v>
      </c>
      <c r="X21" s="10">
        <v>69.849999999999994</v>
      </c>
      <c r="Y21" s="10">
        <v>69.849999999999994</v>
      </c>
      <c r="Z21" s="10">
        <v>69.010000000000005</v>
      </c>
      <c r="AA21" s="10">
        <v>69.55</v>
      </c>
      <c r="AB21" s="94">
        <v>1417300</v>
      </c>
      <c r="AC21" s="10">
        <v>69.55</v>
      </c>
      <c r="AD21" s="2">
        <f t="shared" si="0"/>
        <v>0.8399999999999892</v>
      </c>
      <c r="AE21" s="137">
        <f t="shared" si="1"/>
        <v>2.161383285302465E-3</v>
      </c>
    </row>
    <row r="22" spans="1:31" x14ac:dyDescent="0.25">
      <c r="W22" s="132">
        <v>42768</v>
      </c>
      <c r="X22" s="10">
        <v>68.37</v>
      </c>
      <c r="Y22" s="10">
        <v>69.67</v>
      </c>
      <c r="Z22" s="10">
        <v>67.83</v>
      </c>
      <c r="AA22" s="10">
        <v>69.400000000000006</v>
      </c>
      <c r="AB22" s="94">
        <v>1329800</v>
      </c>
      <c r="AC22" s="10">
        <v>69.400000000000006</v>
      </c>
      <c r="AD22" s="2">
        <f t="shared" si="0"/>
        <v>1.8400000000000034</v>
      </c>
      <c r="AE22" s="137">
        <f t="shared" si="1"/>
        <v>1.0189228529839944E-2</v>
      </c>
    </row>
    <row r="23" spans="1:31" x14ac:dyDescent="0.25">
      <c r="W23" s="132">
        <v>42767</v>
      </c>
      <c r="X23" s="10">
        <v>68.67</v>
      </c>
      <c r="Y23" s="10">
        <v>68.8</v>
      </c>
      <c r="Z23" s="10">
        <v>67.760000000000005</v>
      </c>
      <c r="AA23" s="10">
        <v>68.7</v>
      </c>
      <c r="AB23" s="94">
        <v>1574000</v>
      </c>
      <c r="AC23" s="10">
        <v>68.7</v>
      </c>
      <c r="AD23" s="2">
        <f t="shared" si="0"/>
        <v>1.039999999999992</v>
      </c>
      <c r="AE23" s="137">
        <f t="shared" si="1"/>
        <v>1.6037323224959987E-3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67.569999999999993</v>
      </c>
      <c r="Y24" s="10">
        <v>68.849999999999994</v>
      </c>
      <c r="Z24" s="10">
        <v>67.2</v>
      </c>
      <c r="AA24" s="10">
        <v>68.59</v>
      </c>
      <c r="AB24" s="94">
        <v>1540900</v>
      </c>
      <c r="AC24" s="10">
        <v>68.59</v>
      </c>
      <c r="AD24" s="2">
        <f t="shared" si="0"/>
        <v>1.6499999999999915</v>
      </c>
      <c r="AE24" s="137">
        <f t="shared" si="1"/>
        <v>1.150272821117837E-2</v>
      </c>
    </row>
    <row r="25" spans="1:31" x14ac:dyDescent="0.25">
      <c r="B25" s="192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30">
        <f t="shared" ref="H25:H33" si="4">(E25-D25)/D25</f>
        <v>0.11711538461538468</v>
      </c>
      <c r="I25" s="40" t="s">
        <v>258</v>
      </c>
      <c r="W25" s="132">
        <v>42765</v>
      </c>
      <c r="X25" s="10">
        <v>67.989999999999995</v>
      </c>
      <c r="Y25" s="10">
        <v>68.349999999999994</v>
      </c>
      <c r="Z25" s="10">
        <v>67.36</v>
      </c>
      <c r="AA25" s="10">
        <v>67.81</v>
      </c>
      <c r="AB25" s="94">
        <v>1880600</v>
      </c>
      <c r="AC25" s="10">
        <v>67.81</v>
      </c>
      <c r="AD25" s="2">
        <f t="shared" si="0"/>
        <v>0.98999999999999488</v>
      </c>
      <c r="AE25" s="137">
        <f t="shared" si="1"/>
        <v>-2.3539796969250792E-3</v>
      </c>
    </row>
    <row r="26" spans="1:31" x14ac:dyDescent="0.25">
      <c r="B26" s="192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30">
        <f t="shared" si="4"/>
        <v>-1.9364527347454747E-3</v>
      </c>
      <c r="I26" s="40"/>
      <c r="W26" s="132">
        <v>42762</v>
      </c>
      <c r="X26" s="10">
        <v>68.040000000000006</v>
      </c>
      <c r="Y26" s="10">
        <v>68.08</v>
      </c>
      <c r="Z26" s="10">
        <v>67.55</v>
      </c>
      <c r="AA26" s="10">
        <v>67.97</v>
      </c>
      <c r="AB26" s="94">
        <v>1535700</v>
      </c>
      <c r="AC26" s="10">
        <v>67.97</v>
      </c>
      <c r="AD26" s="2">
        <f t="shared" si="0"/>
        <v>0.53000000000000114</v>
      </c>
      <c r="AE26" s="137">
        <f t="shared" si="1"/>
        <v>2.803186780761191E-3</v>
      </c>
    </row>
    <row r="27" spans="1:31" x14ac:dyDescent="0.25">
      <c r="B27" s="192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30">
        <f t="shared" si="4"/>
        <v>2.6489934816901562E-3</v>
      </c>
      <c r="I27" s="40" t="s">
        <v>261</v>
      </c>
      <c r="W27" s="132">
        <v>42761</v>
      </c>
      <c r="X27" s="10">
        <v>68.540000000000006</v>
      </c>
      <c r="Y27" s="10">
        <v>68.7</v>
      </c>
      <c r="Z27" s="10">
        <v>67.73</v>
      </c>
      <c r="AA27" s="10">
        <v>67.78</v>
      </c>
      <c r="AB27" s="94">
        <v>1414600</v>
      </c>
      <c r="AC27" s="10">
        <v>67.78</v>
      </c>
      <c r="AD27" s="2">
        <f t="shared" si="0"/>
        <v>0.96999999999999886</v>
      </c>
      <c r="AE27" s="137">
        <f t="shared" si="1"/>
        <v>-1.3822202822639351E-2</v>
      </c>
    </row>
    <row r="28" spans="1:31" x14ac:dyDescent="0.25">
      <c r="B28" s="192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30">
        <f t="shared" si="4"/>
        <v>-8.6613157659758567E-3</v>
      </c>
      <c r="I28" s="40"/>
      <c r="W28" s="132">
        <v>42760</v>
      </c>
      <c r="X28" s="10">
        <v>68.349999999999994</v>
      </c>
      <c r="Y28" s="10">
        <v>68.819999999999993</v>
      </c>
      <c r="Z28" s="10">
        <v>67.790000000000006</v>
      </c>
      <c r="AA28" s="10">
        <v>68.73</v>
      </c>
      <c r="AB28" s="94">
        <v>1751300</v>
      </c>
      <c r="AC28" s="10">
        <v>68.73</v>
      </c>
      <c r="AD28" s="2">
        <f t="shared" si="0"/>
        <v>1.0299999999999869</v>
      </c>
      <c r="AE28" s="137">
        <f t="shared" si="1"/>
        <v>1.4614703277236574E-2</v>
      </c>
    </row>
    <row r="29" spans="1:31" x14ac:dyDescent="0.25">
      <c r="B29" s="192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30">
        <f t="shared" si="4"/>
        <v>3.22145387080452E-2</v>
      </c>
      <c r="I29" s="40"/>
      <c r="W29" s="132">
        <v>42759</v>
      </c>
      <c r="X29" s="10">
        <v>67.97</v>
      </c>
      <c r="Y29" s="10">
        <v>68.28</v>
      </c>
      <c r="Z29" s="10">
        <v>67.47</v>
      </c>
      <c r="AA29" s="10">
        <v>67.739999999999995</v>
      </c>
      <c r="AB29" s="94">
        <v>1564000</v>
      </c>
      <c r="AC29" s="10">
        <v>67.739999999999995</v>
      </c>
      <c r="AD29" s="2">
        <f t="shared" si="0"/>
        <v>0.81000000000000227</v>
      </c>
      <c r="AE29" s="137">
        <f t="shared" si="1"/>
        <v>-3.3838458143299333E-3</v>
      </c>
    </row>
    <row r="30" spans="1:31" x14ac:dyDescent="0.25">
      <c r="B30" s="192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30">
        <f t="shared" si="4"/>
        <v>5.0668201164763414E-2</v>
      </c>
      <c r="I30" s="40"/>
      <c r="W30" s="132">
        <v>42758</v>
      </c>
      <c r="X30" s="10">
        <v>69.05</v>
      </c>
      <c r="Y30" s="10">
        <v>69.349999999999994</v>
      </c>
      <c r="Z30" s="10">
        <v>67.84</v>
      </c>
      <c r="AA30" s="10">
        <v>67.97</v>
      </c>
      <c r="AB30" s="94">
        <v>1455800</v>
      </c>
      <c r="AC30" s="10">
        <v>67.97</v>
      </c>
      <c r="AD30" s="2">
        <f t="shared" si="0"/>
        <v>1.5099999999999909</v>
      </c>
      <c r="AE30" s="137">
        <f t="shared" si="1"/>
        <v>-1.7064352856109966E-2</v>
      </c>
    </row>
    <row r="31" spans="1:31" x14ac:dyDescent="0.25">
      <c r="B31" s="192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30">
        <f t="shared" si="4"/>
        <v>6.3565922236663228E-2</v>
      </c>
      <c r="I31" s="40"/>
      <c r="W31" s="132">
        <v>42755</v>
      </c>
      <c r="X31" s="10">
        <v>69.36</v>
      </c>
      <c r="Y31" s="10">
        <v>69.599999999999994</v>
      </c>
      <c r="Z31" s="10">
        <v>68.849999999999994</v>
      </c>
      <c r="AA31" s="10">
        <v>69.150000000000006</v>
      </c>
      <c r="AB31" s="94">
        <v>1434900</v>
      </c>
      <c r="AC31" s="10">
        <v>69.150000000000006</v>
      </c>
      <c r="AD31" s="2">
        <f t="shared" si="0"/>
        <v>0.75</v>
      </c>
      <c r="AE31" s="137">
        <f t="shared" si="1"/>
        <v>2.4644824586836922E-3</v>
      </c>
    </row>
    <row r="32" spans="1:31" x14ac:dyDescent="0.25">
      <c r="B32" s="192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30">
        <f t="shared" si="4"/>
        <v>7.1106128401773799E-2</v>
      </c>
      <c r="I32" s="40"/>
      <c r="W32" s="132">
        <v>42754</v>
      </c>
      <c r="X32" s="10">
        <v>69.36</v>
      </c>
      <c r="Y32" s="10">
        <v>69.739999999999995</v>
      </c>
      <c r="Z32" s="10">
        <v>68.959999999999994</v>
      </c>
      <c r="AA32" s="10">
        <v>68.98</v>
      </c>
      <c r="AB32" s="94">
        <v>1409700</v>
      </c>
      <c r="AC32" s="10">
        <v>68.98</v>
      </c>
      <c r="AD32" s="2">
        <f t="shared" si="0"/>
        <v>0.78000000000000114</v>
      </c>
      <c r="AE32" s="137">
        <f t="shared" si="1"/>
        <v>-8.9080459770113363E-3</v>
      </c>
    </row>
    <row r="33" spans="1:31" x14ac:dyDescent="0.25">
      <c r="B33" s="192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30">
        <f t="shared" si="4"/>
        <v>9.7496849979661265E-2</v>
      </c>
      <c r="I33" s="235"/>
      <c r="W33" s="132">
        <v>42753</v>
      </c>
      <c r="X33" s="10">
        <v>69.739999999999995</v>
      </c>
      <c r="Y33" s="10">
        <v>69.81</v>
      </c>
      <c r="Z33" s="10">
        <v>68.94</v>
      </c>
      <c r="AA33" s="10">
        <v>69.599999999999994</v>
      </c>
      <c r="AB33" s="94">
        <v>1071500</v>
      </c>
      <c r="AC33" s="10">
        <v>69.599999999999994</v>
      </c>
      <c r="AD33" s="2">
        <f t="shared" si="0"/>
        <v>0.87000000000000455</v>
      </c>
      <c r="AE33" s="137">
        <f t="shared" si="1"/>
        <v>-2.7224530735063812E-3</v>
      </c>
    </row>
    <row r="34" spans="1:31" x14ac:dyDescent="0.25">
      <c r="B34" s="192">
        <v>42611</v>
      </c>
      <c r="C34" s="10">
        <v>0</v>
      </c>
      <c r="D34" s="40"/>
      <c r="E34" s="40"/>
      <c r="F34" s="40">
        <v>92.65</v>
      </c>
      <c r="G34" s="40"/>
      <c r="H34" s="230"/>
      <c r="I34" s="40"/>
      <c r="W34" s="132">
        <v>42752</v>
      </c>
      <c r="X34" s="10">
        <v>69.81</v>
      </c>
      <c r="Y34" s="10">
        <v>70</v>
      </c>
      <c r="Z34" s="10">
        <v>69.180000000000007</v>
      </c>
      <c r="AA34" s="10">
        <v>69.790000000000006</v>
      </c>
      <c r="AB34" s="94">
        <v>1011100</v>
      </c>
      <c r="AC34" s="10">
        <v>69.790000000000006</v>
      </c>
      <c r="AD34" s="2">
        <f t="shared" si="0"/>
        <v>0.81999999999999318</v>
      </c>
      <c r="AE34" s="137">
        <f t="shared" si="1"/>
        <v>-3.2847757783488474E-3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42748</v>
      </c>
      <c r="X35" s="10">
        <v>70.23</v>
      </c>
      <c r="Y35" s="10">
        <v>70.42</v>
      </c>
      <c r="Z35" s="10">
        <v>69.86</v>
      </c>
      <c r="AA35" s="10">
        <v>70.02</v>
      </c>
      <c r="AB35" s="94">
        <v>1475000</v>
      </c>
      <c r="AC35" s="10">
        <v>70.02</v>
      </c>
      <c r="AD35" s="2">
        <f t="shared" si="0"/>
        <v>0.56000000000000227</v>
      </c>
      <c r="AE35" s="137">
        <f t="shared" si="1"/>
        <v>1.2870012870012104E-3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42747</v>
      </c>
      <c r="X36" s="10">
        <v>70.010000000000005</v>
      </c>
      <c r="Y36" s="10">
        <v>70.3</v>
      </c>
      <c r="Z36" s="10">
        <v>69.150000000000006</v>
      </c>
      <c r="AA36" s="10">
        <v>69.930000000000007</v>
      </c>
      <c r="AB36" s="94">
        <v>1259700</v>
      </c>
      <c r="AC36" s="10">
        <v>69.930000000000007</v>
      </c>
      <c r="AD36" s="2">
        <f t="shared" si="0"/>
        <v>1.1499999999999915</v>
      </c>
      <c r="AE36" s="137">
        <f t="shared" si="1"/>
        <v>-2.7096406160866948E-3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42746</v>
      </c>
      <c r="X37" s="10">
        <v>70.59</v>
      </c>
      <c r="Y37" s="10">
        <v>71.64</v>
      </c>
      <c r="Z37" s="10">
        <v>70.09</v>
      </c>
      <c r="AA37" s="10">
        <v>70.12</v>
      </c>
      <c r="AB37" s="94">
        <v>2247200</v>
      </c>
      <c r="AC37" s="10">
        <v>70.12</v>
      </c>
      <c r="AD37" s="2">
        <f t="shared" si="0"/>
        <v>1.5499999999999972</v>
      </c>
      <c r="AE37" s="137">
        <f t="shared" si="1"/>
        <v>-2.2766078542970636E-3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42745</v>
      </c>
      <c r="X38" s="10">
        <v>70</v>
      </c>
      <c r="Y38" s="10">
        <v>70.48</v>
      </c>
      <c r="Z38" s="10">
        <v>69.819999999999993</v>
      </c>
      <c r="AA38" s="10">
        <v>70.28</v>
      </c>
      <c r="AB38" s="94">
        <v>1458300</v>
      </c>
      <c r="AC38" s="10">
        <v>70.28</v>
      </c>
      <c r="AD38" s="2">
        <f t="shared" si="0"/>
        <v>0.6600000000000108</v>
      </c>
      <c r="AE38" s="137">
        <f t="shared" si="1"/>
        <v>4.0000000000000036E-3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69.739999999999995</v>
      </c>
      <c r="Y39" s="10">
        <v>70.290000000000006</v>
      </c>
      <c r="Z39" s="10">
        <v>69.7</v>
      </c>
      <c r="AA39" s="10">
        <v>70</v>
      </c>
      <c r="AB39" s="94">
        <v>1550300</v>
      </c>
      <c r="AC39" s="10">
        <v>70</v>
      </c>
      <c r="AD39" s="2">
        <f t="shared" si="0"/>
        <v>0.59000000000000341</v>
      </c>
      <c r="AE39" s="137">
        <f t="shared" si="1"/>
        <v>3.0090270812437314E-3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42741</v>
      </c>
      <c r="X40" s="10">
        <v>69.38</v>
      </c>
      <c r="Y40" s="10">
        <v>70.510000000000005</v>
      </c>
      <c r="Z40" s="10">
        <v>68.92</v>
      </c>
      <c r="AA40" s="10">
        <v>69.790000000000006</v>
      </c>
      <c r="AB40" s="94">
        <v>1967300</v>
      </c>
      <c r="AC40" s="10">
        <v>69.790000000000006</v>
      </c>
      <c r="AD40" s="2">
        <f t="shared" si="0"/>
        <v>1.5900000000000034</v>
      </c>
      <c r="AE40" s="137">
        <f t="shared" si="1"/>
        <v>3.4507548526241383E-3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70.64200000000001</v>
      </c>
      <c r="Q41" s="2"/>
      <c r="W41" s="132">
        <v>42740</v>
      </c>
      <c r="X41" s="10">
        <v>68.12</v>
      </c>
      <c r="Y41" s="10">
        <v>69.75</v>
      </c>
      <c r="Z41" s="10">
        <v>68.12</v>
      </c>
      <c r="AA41" s="10">
        <v>69.55</v>
      </c>
      <c r="AB41" s="94">
        <v>1779800</v>
      </c>
      <c r="AC41" s="10">
        <v>69.55</v>
      </c>
      <c r="AD41" s="2">
        <f t="shared" si="0"/>
        <v>1.6299999999999955</v>
      </c>
      <c r="AE41" s="137">
        <f t="shared" si="1"/>
        <v>1.7854529489243376E-2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69.999800000000008</v>
      </c>
      <c r="Q42" s="2"/>
      <c r="T42" s="90" t="s">
        <v>113</v>
      </c>
      <c r="W42" s="132">
        <v>42739</v>
      </c>
      <c r="X42" s="10">
        <v>67.510000000000005</v>
      </c>
      <c r="Y42" s="10">
        <v>68.47</v>
      </c>
      <c r="Z42" s="10">
        <v>67.19</v>
      </c>
      <c r="AA42" s="10">
        <v>68.33</v>
      </c>
      <c r="AB42" s="94">
        <v>1171000</v>
      </c>
      <c r="AC42" s="10">
        <v>68.33</v>
      </c>
      <c r="AD42" s="2">
        <f t="shared" si="0"/>
        <v>1.2800000000000011</v>
      </c>
      <c r="AE42" s="137">
        <f t="shared" si="1"/>
        <v>1.1247595086576911E-2</v>
      </c>
    </row>
    <row r="43" spans="1:31" ht="15.75" thickTop="1" x14ac:dyDescent="0.25">
      <c r="O43" s="82">
        <v>1.08</v>
      </c>
      <c r="P43" s="82">
        <f t="shared" si="5"/>
        <v>69.357600000000005</v>
      </c>
      <c r="Q43" s="2"/>
      <c r="T43" s="127" t="s">
        <v>98</v>
      </c>
      <c r="U43" s="128">
        <v>63.79</v>
      </c>
      <c r="W43" s="132">
        <v>42738</v>
      </c>
      <c r="X43" s="10">
        <v>67.27</v>
      </c>
      <c r="Y43" s="10">
        <v>68.37</v>
      </c>
      <c r="Z43" s="10">
        <v>67.11</v>
      </c>
      <c r="AA43" s="10">
        <v>67.569999999999993</v>
      </c>
      <c r="AB43" s="94">
        <v>1077400</v>
      </c>
      <c r="AC43" s="10">
        <v>67.569999999999993</v>
      </c>
      <c r="AD43" s="2">
        <f t="shared" si="0"/>
        <v>1.2600000000000051</v>
      </c>
      <c r="AE43" s="137">
        <f t="shared" si="1"/>
        <v>1.334733053389292E-2</v>
      </c>
    </row>
    <row r="44" spans="1:31" x14ac:dyDescent="0.25">
      <c r="O44" s="82">
        <v>1.07</v>
      </c>
      <c r="P44" s="82">
        <f t="shared" si="5"/>
        <v>68.715400000000002</v>
      </c>
      <c r="Q44" s="2"/>
      <c r="T44" s="92" t="s">
        <v>99</v>
      </c>
      <c r="U44" s="129">
        <v>63.55</v>
      </c>
      <c r="W44" s="132">
        <v>42734</v>
      </c>
      <c r="X44" s="10">
        <v>67.25</v>
      </c>
      <c r="Y44" s="10">
        <v>67.55</v>
      </c>
      <c r="Z44" s="10">
        <v>66.349999999999994</v>
      </c>
      <c r="AA44" s="10">
        <v>66.680000000000007</v>
      </c>
      <c r="AB44" s="94">
        <v>966400</v>
      </c>
      <c r="AC44" s="10">
        <v>66.680000000000007</v>
      </c>
      <c r="AD44" s="2">
        <f t="shared" si="0"/>
        <v>1.2000000000000028</v>
      </c>
      <c r="AE44" s="137">
        <f t="shared" si="1"/>
        <v>-5.3699284009546266E-3</v>
      </c>
    </row>
    <row r="45" spans="1:31" x14ac:dyDescent="0.25">
      <c r="O45" s="82">
        <v>1.06</v>
      </c>
      <c r="P45" s="82">
        <f t="shared" si="5"/>
        <v>68.0732</v>
      </c>
      <c r="Q45" s="2"/>
      <c r="T45" s="92" t="s">
        <v>100</v>
      </c>
      <c r="U45" s="129" t="s">
        <v>620</v>
      </c>
      <c r="W45" s="132">
        <v>42733</v>
      </c>
      <c r="X45" s="10">
        <v>67.14</v>
      </c>
      <c r="Y45" s="10">
        <v>67.83</v>
      </c>
      <c r="Z45" s="10">
        <v>66.88</v>
      </c>
      <c r="AA45" s="10">
        <v>67.040000000000006</v>
      </c>
      <c r="AB45" s="94">
        <v>589400</v>
      </c>
      <c r="AC45" s="10">
        <v>67.040000000000006</v>
      </c>
      <c r="AD45" s="2">
        <f t="shared" si="0"/>
        <v>0.95000000000000284</v>
      </c>
      <c r="AE45" s="137">
        <f t="shared" si="1"/>
        <v>-3.4190575293591152E-3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67.430999999999997</v>
      </c>
      <c r="Q46" s="2"/>
      <c r="T46" s="92" t="s">
        <v>101</v>
      </c>
      <c r="U46" s="129" t="s">
        <v>621</v>
      </c>
      <c r="W46" s="132">
        <v>42732</v>
      </c>
      <c r="X46" s="10">
        <v>68.13</v>
      </c>
      <c r="Y46" s="10">
        <v>68.3</v>
      </c>
      <c r="Z46" s="10">
        <v>67.12</v>
      </c>
      <c r="AA46" s="10">
        <v>67.27</v>
      </c>
      <c r="AB46" s="94">
        <v>703200</v>
      </c>
      <c r="AC46" s="10">
        <v>67.27</v>
      </c>
      <c r="AD46" s="2">
        <f t="shared" si="0"/>
        <v>1.1799999999999926</v>
      </c>
      <c r="AE46" s="137">
        <f t="shared" si="1"/>
        <v>-1.2042884417682642E-2</v>
      </c>
    </row>
    <row r="47" spans="1:31" x14ac:dyDescent="0.25">
      <c r="A47" s="262" t="s">
        <v>1</v>
      </c>
      <c r="B47" s="262" t="s">
        <v>2</v>
      </c>
      <c r="C47" s="262" t="s">
        <v>4</v>
      </c>
      <c r="D47" s="263" t="s">
        <v>5</v>
      </c>
      <c r="E47" s="263" t="s">
        <v>94</v>
      </c>
      <c r="F47" s="263" t="s">
        <v>60</v>
      </c>
      <c r="G47" s="262" t="s">
        <v>3</v>
      </c>
      <c r="H47" s="262" t="s">
        <v>6</v>
      </c>
      <c r="I47" s="263" t="s">
        <v>7</v>
      </c>
      <c r="J47" s="263" t="s">
        <v>95</v>
      </c>
      <c r="K47" s="263" t="s">
        <v>61</v>
      </c>
      <c r="L47" s="262" t="s">
        <v>37</v>
      </c>
      <c r="M47" s="262" t="s">
        <v>38</v>
      </c>
      <c r="O47" s="82">
        <v>1.04</v>
      </c>
      <c r="P47" s="82">
        <f t="shared" si="5"/>
        <v>66.788799999999995</v>
      </c>
      <c r="Q47" s="2"/>
      <c r="T47" s="92" t="s">
        <v>102</v>
      </c>
      <c r="U47" s="129">
        <v>71.8</v>
      </c>
      <c r="W47" s="132">
        <v>42731</v>
      </c>
      <c r="X47" s="10">
        <v>67.63</v>
      </c>
      <c r="Y47" s="10">
        <v>68.39</v>
      </c>
      <c r="Z47" s="10">
        <v>67.27</v>
      </c>
      <c r="AA47" s="10">
        <v>68.09</v>
      </c>
      <c r="AB47" s="94">
        <v>607100</v>
      </c>
      <c r="AC47" s="10">
        <v>68.09</v>
      </c>
      <c r="AD47" s="2">
        <f t="shared" si="0"/>
        <v>1.1200000000000045</v>
      </c>
      <c r="AE47" s="137">
        <f t="shared" si="1"/>
        <v>6.8017152151413907E-3</v>
      </c>
    </row>
    <row r="48" spans="1:31" x14ac:dyDescent="0.25">
      <c r="A48" s="264" t="s">
        <v>257</v>
      </c>
      <c r="B48" s="265">
        <v>42577</v>
      </c>
      <c r="C48" s="260">
        <v>30</v>
      </c>
      <c r="D48" s="261">
        <v>52</v>
      </c>
      <c r="E48" s="261">
        <v>0</v>
      </c>
      <c r="F48" s="261">
        <f>D48*C48+E48</f>
        <v>1560</v>
      </c>
      <c r="G48" s="265">
        <v>42580</v>
      </c>
      <c r="H48" s="266">
        <v>30</v>
      </c>
      <c r="I48" s="261">
        <v>50.75</v>
      </c>
      <c r="J48" s="261">
        <v>0.03</v>
      </c>
      <c r="K48" s="261">
        <f>H48*I48-J48</f>
        <v>1522.47</v>
      </c>
      <c r="L48" s="265"/>
      <c r="M48" s="260"/>
      <c r="O48" s="82">
        <v>1.03</v>
      </c>
      <c r="P48" s="82">
        <f t="shared" si="5"/>
        <v>66.146600000000007</v>
      </c>
      <c r="Q48" s="2"/>
      <c r="T48" s="92" t="s">
        <v>103</v>
      </c>
      <c r="U48" s="129">
        <v>0.43145600000000001</v>
      </c>
      <c r="W48" s="132">
        <v>42727</v>
      </c>
      <c r="X48" s="10">
        <v>67.31</v>
      </c>
      <c r="Y48" s="10">
        <v>67.75</v>
      </c>
      <c r="Z48" s="10">
        <v>67.11</v>
      </c>
      <c r="AA48" s="10">
        <v>67.63</v>
      </c>
      <c r="AB48" s="94">
        <v>571500</v>
      </c>
      <c r="AC48" s="10">
        <v>67.63</v>
      </c>
      <c r="AD48" s="2">
        <f t="shared" si="0"/>
        <v>0.64000000000000057</v>
      </c>
      <c r="AE48" s="137">
        <f t="shared" si="1"/>
        <v>3.8592845480183158E-3</v>
      </c>
    </row>
    <row r="49" spans="1:31" x14ac:dyDescent="0.25">
      <c r="A49" s="267" t="s">
        <v>71</v>
      </c>
      <c r="B49" s="265">
        <v>42578</v>
      </c>
      <c r="C49" s="260">
        <v>20</v>
      </c>
      <c r="D49" s="261">
        <v>48.52</v>
      </c>
      <c r="E49" s="261">
        <v>0</v>
      </c>
      <c r="F49" s="261">
        <f>D49*C49+E49</f>
        <v>970.40000000000009</v>
      </c>
      <c r="G49" s="265">
        <v>42611</v>
      </c>
      <c r="H49" s="266">
        <v>20</v>
      </c>
      <c r="I49" s="261">
        <v>55.03</v>
      </c>
      <c r="J49" s="261">
        <v>0.02</v>
      </c>
      <c r="K49" s="261">
        <f>H49*I49-J49</f>
        <v>1100.58</v>
      </c>
      <c r="L49" s="260"/>
      <c r="M49" s="260"/>
      <c r="O49" s="82">
        <v>1.02</v>
      </c>
      <c r="P49" s="82">
        <f t="shared" si="5"/>
        <v>65.504400000000004</v>
      </c>
      <c r="Q49" s="2"/>
      <c r="T49" s="92" t="s">
        <v>122</v>
      </c>
      <c r="U49" s="129" t="s">
        <v>435</v>
      </c>
      <c r="W49" s="132">
        <v>42726</v>
      </c>
      <c r="X49" s="10">
        <v>68.16</v>
      </c>
      <c r="Y49" s="10">
        <v>68.680000000000007</v>
      </c>
      <c r="Z49" s="10">
        <v>67.239999999999995</v>
      </c>
      <c r="AA49" s="10">
        <v>67.37</v>
      </c>
      <c r="AB49" s="94">
        <v>965900</v>
      </c>
      <c r="AC49" s="10">
        <v>67.37</v>
      </c>
      <c r="AD49" s="2">
        <f t="shared" si="0"/>
        <v>1.4400000000000119</v>
      </c>
      <c r="AE49" s="137">
        <f t="shared" si="1"/>
        <v>-7.3670251952261401E-3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64.862200000000001</v>
      </c>
      <c r="Q50" s="2"/>
      <c r="T50" s="92"/>
      <c r="U50" s="129"/>
      <c r="W50" s="132">
        <v>42725</v>
      </c>
      <c r="X50" s="10">
        <v>68.849999999999994</v>
      </c>
      <c r="Y50" s="10">
        <v>69.260000000000005</v>
      </c>
      <c r="Z50" s="10">
        <v>67.790000000000006</v>
      </c>
      <c r="AA50" s="10">
        <v>67.87</v>
      </c>
      <c r="AB50" s="94">
        <v>1002900</v>
      </c>
      <c r="AC50" s="10">
        <v>67.87</v>
      </c>
      <c r="AD50" s="2">
        <f t="shared" si="0"/>
        <v>1.4699999999999989</v>
      </c>
      <c r="AE50" s="137">
        <f t="shared" si="1"/>
        <v>-1.2081513828238744E-2</v>
      </c>
    </row>
    <row r="51" spans="1:31" x14ac:dyDescent="0.25">
      <c r="A51" s="260"/>
      <c r="B51" s="265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64.22</v>
      </c>
      <c r="Q51" s="2"/>
      <c r="T51" s="92" t="s">
        <v>105</v>
      </c>
      <c r="U51" s="129" t="s">
        <v>622</v>
      </c>
      <c r="W51" s="132">
        <v>42724</v>
      </c>
      <c r="X51" s="10">
        <v>67.819999999999993</v>
      </c>
      <c r="Y51" s="10">
        <v>68.84</v>
      </c>
      <c r="Z51" s="10">
        <v>67.8</v>
      </c>
      <c r="AA51" s="10">
        <v>68.7</v>
      </c>
      <c r="AB51" s="94">
        <v>1274600</v>
      </c>
      <c r="AC51" s="10">
        <v>68.7</v>
      </c>
      <c r="AD51" s="2">
        <f t="shared" si="0"/>
        <v>1.0400000000000063</v>
      </c>
      <c r="AE51" s="137">
        <f t="shared" si="1"/>
        <v>1.387249114521838E-2</v>
      </c>
    </row>
    <row r="52" spans="1:31" x14ac:dyDescent="0.25">
      <c r="A52" s="260"/>
      <c r="B52" s="265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63.577799999999996</v>
      </c>
      <c r="Q52" s="2"/>
      <c r="T52" s="92" t="s">
        <v>106</v>
      </c>
      <c r="U52" s="129" t="s">
        <v>472</v>
      </c>
      <c r="W52" s="132">
        <v>42723</v>
      </c>
      <c r="X52" s="10">
        <v>67.34</v>
      </c>
      <c r="Y52" s="10">
        <v>68.069999999999993</v>
      </c>
      <c r="Z52" s="10">
        <v>66.44</v>
      </c>
      <c r="AA52" s="10">
        <v>67.760000000000005</v>
      </c>
      <c r="AB52" s="94">
        <v>923800</v>
      </c>
      <c r="AC52" s="10">
        <v>67.760000000000005</v>
      </c>
      <c r="AD52" s="2">
        <f t="shared" si="0"/>
        <v>1.6299999999999955</v>
      </c>
      <c r="AE52" s="137">
        <f t="shared" si="1"/>
        <v>8.4834052686413308E-3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62.935600000000001</v>
      </c>
      <c r="Q53" s="2"/>
      <c r="T53" s="92" t="s">
        <v>107</v>
      </c>
      <c r="U53" s="130">
        <v>1325819</v>
      </c>
      <c r="W53" s="132">
        <v>42720</v>
      </c>
      <c r="X53" s="10">
        <v>67.92</v>
      </c>
      <c r="Y53" s="10">
        <v>68.430000000000007</v>
      </c>
      <c r="Z53" s="10">
        <v>66.63</v>
      </c>
      <c r="AA53" s="10">
        <v>67.19</v>
      </c>
      <c r="AB53" s="94">
        <v>2565500</v>
      </c>
      <c r="AC53" s="10">
        <v>67.19</v>
      </c>
      <c r="AD53" s="2">
        <f t="shared" si="0"/>
        <v>1.8000000000000114</v>
      </c>
      <c r="AE53" s="137">
        <f t="shared" si="1"/>
        <v>-5.770938147380944E-3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62.293399999999998</v>
      </c>
      <c r="T54" s="92" t="s">
        <v>110</v>
      </c>
      <c r="U54" s="130">
        <v>1816630</v>
      </c>
      <c r="W54" s="132">
        <v>42719</v>
      </c>
      <c r="X54" s="10">
        <v>66.81</v>
      </c>
      <c r="Y54" s="10">
        <v>68.180000000000007</v>
      </c>
      <c r="Z54" s="10">
        <v>66.47</v>
      </c>
      <c r="AA54" s="10">
        <v>67.58</v>
      </c>
      <c r="AB54" s="94">
        <v>1543300</v>
      </c>
      <c r="AC54" s="10">
        <v>67.58</v>
      </c>
      <c r="AD54" s="2">
        <f t="shared" si="0"/>
        <v>1.710000000000008</v>
      </c>
      <c r="AE54" s="137">
        <f t="shared" si="1"/>
        <v>8.8072846693536544E-3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61.651199999999996</v>
      </c>
      <c r="T55" s="92" t="s">
        <v>108</v>
      </c>
      <c r="U55" s="129" t="s">
        <v>623</v>
      </c>
      <c r="W55" s="132">
        <v>42718</v>
      </c>
      <c r="X55" s="10">
        <v>67</v>
      </c>
      <c r="Y55" s="10">
        <v>68.36</v>
      </c>
      <c r="Z55" s="10">
        <v>66.569999999999993</v>
      </c>
      <c r="AA55" s="10">
        <v>66.989999999999995</v>
      </c>
      <c r="AB55" s="94">
        <v>3112800</v>
      </c>
      <c r="AC55" s="10">
        <v>66.989999999999995</v>
      </c>
      <c r="AD55" s="2">
        <f t="shared" si="0"/>
        <v>1.7900000000000063</v>
      </c>
      <c r="AE55" s="137">
        <f t="shared" si="1"/>
        <v>2.8400368437212054E-2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61.008999999999993</v>
      </c>
      <c r="T56" s="92" t="s">
        <v>111</v>
      </c>
      <c r="U56" s="129">
        <v>35.4</v>
      </c>
      <c r="W56" s="132">
        <v>42717</v>
      </c>
      <c r="X56" s="10">
        <v>64.61</v>
      </c>
      <c r="Y56" s="10">
        <v>65.92</v>
      </c>
      <c r="Z56" s="10">
        <v>64.48</v>
      </c>
      <c r="AA56" s="10">
        <v>65.14</v>
      </c>
      <c r="AB56" s="94">
        <v>1332200</v>
      </c>
      <c r="AC56" s="10">
        <v>65.14</v>
      </c>
      <c r="AD56" s="2">
        <f t="shared" si="0"/>
        <v>1.4399999999999977</v>
      </c>
      <c r="AE56" s="137">
        <f t="shared" si="1"/>
        <v>1.3852140077821096E-2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60.366799999999998</v>
      </c>
      <c r="T57" s="92" t="s">
        <v>112</v>
      </c>
      <c r="U57" s="129">
        <v>1.79</v>
      </c>
      <c r="W57" s="132">
        <v>42716</v>
      </c>
      <c r="X57" s="10">
        <v>64.790000000000006</v>
      </c>
      <c r="Y57" s="10">
        <v>64.84</v>
      </c>
      <c r="Z57" s="10">
        <v>63.68</v>
      </c>
      <c r="AA57" s="10">
        <v>64.25</v>
      </c>
      <c r="AB57" s="94">
        <v>1054500</v>
      </c>
      <c r="AC57" s="10">
        <v>64.25</v>
      </c>
      <c r="AD57" s="2">
        <f t="shared" si="0"/>
        <v>1.1600000000000037</v>
      </c>
      <c r="AE57" s="137">
        <f t="shared" si="1"/>
        <v>-1.0625192485371082E-2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59.724600000000002</v>
      </c>
      <c r="T58" s="92" t="s">
        <v>109</v>
      </c>
      <c r="U58" s="129" t="s">
        <v>123</v>
      </c>
      <c r="W58" s="132">
        <v>42713</v>
      </c>
      <c r="X58" s="10">
        <v>66.37</v>
      </c>
      <c r="Y58" s="10">
        <v>66.569999999999993</v>
      </c>
      <c r="Z58" s="10">
        <v>64.819999999999993</v>
      </c>
      <c r="AA58" s="10">
        <v>64.94</v>
      </c>
      <c r="AB58" s="94">
        <v>1219800</v>
      </c>
      <c r="AC58" s="10">
        <v>64.94</v>
      </c>
      <c r="AD58" s="2">
        <f t="shared" si="0"/>
        <v>1.75</v>
      </c>
      <c r="AE58" s="137">
        <f t="shared" si="1"/>
        <v>-2.0660533856130314E-2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59.0824</v>
      </c>
      <c r="W59" s="132">
        <v>42712</v>
      </c>
      <c r="X59" s="10">
        <v>65.86</v>
      </c>
      <c r="Y59" s="10">
        <v>66.790000000000006</v>
      </c>
      <c r="Z59" s="10">
        <v>65.58</v>
      </c>
      <c r="AA59" s="10">
        <v>66.31</v>
      </c>
      <c r="AB59" s="94">
        <v>1096700</v>
      </c>
      <c r="AC59" s="10">
        <v>66.31</v>
      </c>
      <c r="AD59" s="2">
        <f t="shared" si="0"/>
        <v>1.210000000000008</v>
      </c>
      <c r="AE59" s="137">
        <f t="shared" si="1"/>
        <v>2.4187452758881456E-3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58.440200000000004</v>
      </c>
      <c r="W60" s="132">
        <v>42711</v>
      </c>
      <c r="X60" s="10">
        <v>64.709999999999994</v>
      </c>
      <c r="Y60" s="10">
        <v>66.180000000000007</v>
      </c>
      <c r="Z60" s="10">
        <v>64.400000000000006</v>
      </c>
      <c r="AA60" s="10">
        <v>66.150000000000006</v>
      </c>
      <c r="AB60" s="94">
        <v>1308300</v>
      </c>
      <c r="AC60" s="10">
        <v>66.150000000000006</v>
      </c>
      <c r="AD60" s="2">
        <f t="shared" si="0"/>
        <v>1.7800000000000011</v>
      </c>
      <c r="AE60" s="137">
        <f t="shared" si="1"/>
        <v>1.8789465578315179E-2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57.798000000000002</v>
      </c>
      <c r="W61" s="132">
        <v>42710</v>
      </c>
      <c r="X61" s="10">
        <v>64.41</v>
      </c>
      <c r="Y61" s="10">
        <v>64.98</v>
      </c>
      <c r="Z61" s="10">
        <v>64.040000000000006</v>
      </c>
      <c r="AA61" s="10">
        <v>64.930000000000007</v>
      </c>
      <c r="AB61" s="94">
        <v>1234200</v>
      </c>
      <c r="AC61" s="10">
        <v>64.930000000000007</v>
      </c>
      <c r="AD61" s="2">
        <f t="shared" si="0"/>
        <v>0.93999999999999773</v>
      </c>
      <c r="AE61" s="137">
        <f t="shared" si="1"/>
        <v>9.6408023635516926E-3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42709</v>
      </c>
      <c r="X62" s="10">
        <v>64</v>
      </c>
      <c r="Y62" s="10">
        <v>64.59</v>
      </c>
      <c r="Z62" s="10">
        <v>63.62</v>
      </c>
      <c r="AA62" s="10">
        <v>64.31</v>
      </c>
      <c r="AB62" s="94">
        <v>1970900</v>
      </c>
      <c r="AC62" s="10">
        <v>64.31</v>
      </c>
      <c r="AD62" s="2">
        <f t="shared" si="0"/>
        <v>0.97000000000000597</v>
      </c>
      <c r="AE62" s="137">
        <f t="shared" si="1"/>
        <v>6.8889932675748611E-3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0"/>
      <c r="I63" s="261"/>
      <c r="J63" s="261"/>
      <c r="K63" s="261"/>
      <c r="L63" s="260"/>
      <c r="M63" s="260"/>
      <c r="W63" s="132">
        <v>42706</v>
      </c>
      <c r="X63" s="10">
        <v>63.34</v>
      </c>
      <c r="Y63" s="10">
        <v>64.14</v>
      </c>
      <c r="Z63" s="10">
        <v>62.83</v>
      </c>
      <c r="AA63" s="10">
        <v>63.87</v>
      </c>
      <c r="AB63" s="94">
        <v>2282300</v>
      </c>
      <c r="AC63" s="10">
        <v>63.87</v>
      </c>
      <c r="AD63" s="2">
        <f t="shared" si="0"/>
        <v>1.3100000000000023</v>
      </c>
      <c r="AE63" s="137">
        <f t="shared" si="1"/>
        <v>5.6683986773735651E-3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42705</v>
      </c>
      <c r="X64" s="10">
        <v>66.48</v>
      </c>
      <c r="Y64" s="10">
        <v>66.5</v>
      </c>
      <c r="Z64" s="10">
        <v>63.5</v>
      </c>
      <c r="AA64" s="10">
        <v>63.51</v>
      </c>
      <c r="AB64" s="94">
        <v>2879500</v>
      </c>
      <c r="AC64" s="10">
        <v>63.51</v>
      </c>
      <c r="AD64" s="2">
        <f t="shared" si="0"/>
        <v>3</v>
      </c>
      <c r="AE64" s="137">
        <f t="shared" si="1"/>
        <v>-4.7826086956521796E-2</v>
      </c>
    </row>
    <row r="65" spans="1:31" ht="15.75" thickBot="1" x14ac:dyDescent="0.3">
      <c r="A65" s="462" t="s">
        <v>197</v>
      </c>
      <c r="B65" s="463"/>
      <c r="C65" s="464">
        <f>SumByColor($A$19,C48:C63)</f>
        <v>0</v>
      </c>
      <c r="D65" s="464"/>
      <c r="E65" s="464"/>
      <c r="F65" s="465">
        <f>SumByColor($A$19,F48:F63)</f>
        <v>0</v>
      </c>
      <c r="G65" s="464"/>
      <c r="H65" s="464">
        <f>SumByColor($A$19,H48:H63)</f>
        <v>0</v>
      </c>
      <c r="I65" s="464"/>
      <c r="J65" s="464"/>
      <c r="K65" s="465">
        <f>SumByColor($A$19,K48:K63)</f>
        <v>0</v>
      </c>
      <c r="L65" s="464"/>
      <c r="M65" s="465">
        <f>SumByColor($A$19,M48:M63)</f>
        <v>0</v>
      </c>
      <c r="W65" s="132">
        <v>42704</v>
      </c>
      <c r="X65" s="10">
        <v>67.3</v>
      </c>
      <c r="Y65" s="10">
        <v>67.48</v>
      </c>
      <c r="Z65" s="10">
        <v>66.44</v>
      </c>
      <c r="AA65" s="10">
        <v>66.7</v>
      </c>
      <c r="AB65" s="94">
        <v>1751100</v>
      </c>
      <c r="AC65" s="10">
        <v>66.7</v>
      </c>
      <c r="AD65" s="2">
        <f t="shared" si="0"/>
        <v>1.0400000000000063</v>
      </c>
      <c r="AE65" s="137">
        <f t="shared" si="1"/>
        <v>-8.6206896551723755E-3</v>
      </c>
    </row>
    <row r="66" spans="1:31" x14ac:dyDescent="0.25">
      <c r="W66" s="132">
        <v>42703</v>
      </c>
      <c r="X66" s="10">
        <v>66.34</v>
      </c>
      <c r="Y66" s="10">
        <v>67.760000000000005</v>
      </c>
      <c r="Z66" s="10">
        <v>66.11</v>
      </c>
      <c r="AA66" s="10">
        <v>67.28</v>
      </c>
      <c r="AB66" s="94">
        <v>1895700</v>
      </c>
      <c r="AC66" s="10">
        <v>67.28</v>
      </c>
      <c r="AD66" s="2">
        <f t="shared" si="0"/>
        <v>1.6500000000000057</v>
      </c>
      <c r="AE66" s="137">
        <f t="shared" si="1"/>
        <v>1.6774973552969641E-2</v>
      </c>
    </row>
    <row r="67" spans="1:31" x14ac:dyDescent="0.25">
      <c r="W67" s="132">
        <v>42702</v>
      </c>
      <c r="X67" s="10">
        <v>66.52</v>
      </c>
      <c r="Y67" s="10">
        <v>66.790000000000006</v>
      </c>
      <c r="Z67" s="10">
        <v>65.900000000000006</v>
      </c>
      <c r="AA67" s="10">
        <v>66.17</v>
      </c>
      <c r="AB67" s="94">
        <v>984300</v>
      </c>
      <c r="AC67" s="10">
        <v>66.17</v>
      </c>
      <c r="AD67" s="2">
        <f>Y67-Z67</f>
        <v>0.89000000000000057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961" priority="11">
      <formula>F34&gt;0</formula>
    </cfRule>
    <cfRule type="expression" dxfId="960" priority="12">
      <formula>F34&lt;0</formula>
    </cfRule>
  </conditionalFormatting>
  <conditionalFormatting sqref="Q7">
    <cfRule type="expression" dxfId="959" priority="9">
      <formula>Q7&gt;0</formula>
    </cfRule>
    <cfRule type="expression" dxfId="958" priority="10">
      <formula>Q7&lt;0</formula>
    </cfRule>
  </conditionalFormatting>
  <conditionalFormatting sqref="Q8">
    <cfRule type="expression" dxfId="957" priority="7">
      <formula>Q8&gt;0</formula>
    </cfRule>
    <cfRule type="expression" dxfId="956" priority="8">
      <formula>Q8&lt;0</formula>
    </cfRule>
  </conditionalFormatting>
  <conditionalFormatting sqref="F25:F33">
    <cfRule type="expression" dxfId="955" priority="5">
      <formula>F25&gt;0</formula>
    </cfRule>
    <cfRule type="expression" dxfId="954" priority="6">
      <formula>F25&lt;0</formula>
    </cfRule>
  </conditionalFormatting>
  <conditionalFormatting sqref="H25:H33">
    <cfRule type="expression" dxfId="953" priority="3">
      <formula>H25&gt;0</formula>
    </cfRule>
    <cfRule type="expression" dxfId="952" priority="4">
      <formula>H25&lt;0</formula>
    </cfRule>
  </conditionalFormatting>
  <conditionalFormatting sqref="M46">
    <cfRule type="expression" dxfId="951" priority="1">
      <formula>M46&gt;0</formula>
    </cfRule>
    <cfRule type="expression" dxfId="950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287</v>
      </c>
      <c r="B2" s="454">
        <v>42626</v>
      </c>
      <c r="C2" s="7">
        <v>20</v>
      </c>
      <c r="D2" s="44">
        <v>90.85</v>
      </c>
      <c r="E2" s="44">
        <v>0</v>
      </c>
      <c r="F2" s="44">
        <f t="shared" ref="F2:F7" si="0">D2*C2 + E2</f>
        <v>1817</v>
      </c>
      <c r="G2" s="454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3">
        <v>42678</v>
      </c>
      <c r="M2" s="44">
        <v>17</v>
      </c>
      <c r="O2" s="11" t="s">
        <v>57</v>
      </c>
      <c r="Q2">
        <f>C18-H18</f>
        <v>60</v>
      </c>
      <c r="T2" s="1" t="s">
        <v>535</v>
      </c>
      <c r="W2" s="132">
        <v>42797</v>
      </c>
      <c r="X2" s="10">
        <v>81.52</v>
      </c>
      <c r="Y2" s="10">
        <v>81.69</v>
      </c>
      <c r="Z2" s="10">
        <v>80.540000000000006</v>
      </c>
      <c r="AA2" s="10">
        <v>81.02</v>
      </c>
      <c r="AB2" s="94">
        <v>5640600</v>
      </c>
      <c r="AC2" s="10">
        <v>81.02</v>
      </c>
      <c r="AD2" s="2"/>
      <c r="AE2" s="137">
        <f>AC2/AC3-1</f>
        <v>-4.0565457897971946E-3</v>
      </c>
    </row>
    <row r="3" spans="1:31" x14ac:dyDescent="0.25">
      <c r="A3" s="23" t="s">
        <v>71</v>
      </c>
      <c r="B3" s="454">
        <v>42646</v>
      </c>
      <c r="C3" s="7">
        <v>20</v>
      </c>
      <c r="D3" s="44">
        <v>87.56</v>
      </c>
      <c r="E3" s="44">
        <v>0</v>
      </c>
      <c r="F3" s="44">
        <f t="shared" si="0"/>
        <v>1751.2</v>
      </c>
      <c r="G3" s="454">
        <v>42788</v>
      </c>
      <c r="H3" s="81">
        <v>40</v>
      </c>
      <c r="I3" s="44">
        <v>80.38</v>
      </c>
      <c r="J3" s="44">
        <v>7.0000000000000007E-2</v>
      </c>
      <c r="K3" s="44">
        <f>I3*H3 - J3</f>
        <v>3215.1299999999997</v>
      </c>
      <c r="L3" s="73">
        <v>42769</v>
      </c>
      <c r="M3" s="44">
        <v>40</v>
      </c>
      <c r="O3" s="11" t="s">
        <v>58</v>
      </c>
      <c r="Q3" s="490">
        <f>IF(Q2=0, Q4, (F18-K18-M18)/Q2)</f>
        <v>79.19133333333339</v>
      </c>
      <c r="T3" s="1"/>
      <c r="W3" s="132">
        <v>42796</v>
      </c>
      <c r="X3" s="10">
        <v>80.5</v>
      </c>
      <c r="Y3" s="10">
        <v>81.56</v>
      </c>
      <c r="Z3" s="10">
        <v>80.41</v>
      </c>
      <c r="AA3" s="10">
        <v>81.349999999999994</v>
      </c>
      <c r="AB3" s="94">
        <v>5741500</v>
      </c>
      <c r="AC3" s="10">
        <v>81.349999999999994</v>
      </c>
      <c r="AD3" s="2"/>
      <c r="AE3" s="137">
        <f t="shared" ref="AE3:AE66" si="1">AC3/AC4-1</f>
        <v>8.0545229244113337E-3</v>
      </c>
    </row>
    <row r="4" spans="1:31" x14ac:dyDescent="0.25">
      <c r="B4" s="45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73">
        <v>42796</v>
      </c>
      <c r="H4" s="81">
        <v>80</v>
      </c>
      <c r="I4" s="44">
        <v>81.2</v>
      </c>
      <c r="J4" s="44">
        <v>0.14000000000000001</v>
      </c>
      <c r="K4" s="44">
        <f>I4*H4 - J4</f>
        <v>6495.86</v>
      </c>
      <c r="L4" s="4"/>
      <c r="M4" s="4"/>
      <c r="O4" s="11" t="s">
        <v>66</v>
      </c>
      <c r="Q4" s="55">
        <v>80.400000000000006</v>
      </c>
      <c r="R4" s="499">
        <v>-3.7000000000000002E-3</v>
      </c>
      <c r="T4" s="162"/>
      <c r="U4" s="1"/>
      <c r="W4" s="132">
        <v>42795</v>
      </c>
      <c r="X4" s="10">
        <v>81.099999999999994</v>
      </c>
      <c r="Y4" s="10">
        <v>81.38</v>
      </c>
      <c r="Z4" s="10">
        <v>80.64</v>
      </c>
      <c r="AA4" s="10">
        <v>80.7</v>
      </c>
      <c r="AB4" s="94">
        <v>4966900</v>
      </c>
      <c r="AC4" s="10">
        <v>80.7</v>
      </c>
      <c r="AD4" s="2"/>
      <c r="AE4" s="137">
        <f t="shared" si="1"/>
        <v>1.4892032762472418E-3</v>
      </c>
    </row>
    <row r="5" spans="1:31" x14ac:dyDescent="0.25">
      <c r="B5" s="73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4824</v>
      </c>
      <c r="W5" s="132">
        <v>42794</v>
      </c>
      <c r="X5" s="10">
        <v>80.8</v>
      </c>
      <c r="Y5" s="10">
        <v>81.13</v>
      </c>
      <c r="Z5" s="10">
        <v>80.180000000000007</v>
      </c>
      <c r="AA5" s="10">
        <v>80.58</v>
      </c>
      <c r="AB5" s="94">
        <v>7095000</v>
      </c>
      <c r="AC5" s="10">
        <v>80.58</v>
      </c>
      <c r="AD5" s="2"/>
      <c r="AE5" s="137">
        <f t="shared" si="1"/>
        <v>-1.0195307701756473E-2</v>
      </c>
    </row>
    <row r="6" spans="1:31" x14ac:dyDescent="0.25">
      <c r="B6" s="454">
        <v>42762</v>
      </c>
      <c r="C6" s="7">
        <v>80</v>
      </c>
      <c r="D6" s="44">
        <v>77.180000000000007</v>
      </c>
      <c r="E6" s="44">
        <v>0</v>
      </c>
      <c r="F6" s="44">
        <f t="shared" si="0"/>
        <v>6174.4000000000005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4751.4800000000032</v>
      </c>
      <c r="W6" s="132">
        <v>42793</v>
      </c>
      <c r="X6" s="10">
        <v>81.55</v>
      </c>
      <c r="Y6" s="10">
        <v>81.86</v>
      </c>
      <c r="Z6" s="10">
        <v>81.31</v>
      </c>
      <c r="AA6" s="10">
        <v>81.41</v>
      </c>
      <c r="AB6" s="94">
        <v>4685000</v>
      </c>
      <c r="AC6" s="10">
        <v>81.41</v>
      </c>
      <c r="AD6" s="2"/>
      <c r="AE6" s="137">
        <f t="shared" si="1"/>
        <v>-8.5910652920972996E-4</v>
      </c>
    </row>
    <row r="7" spans="1:31" x14ac:dyDescent="0.25">
      <c r="B7" s="73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72.519999999996799</v>
      </c>
      <c r="R7">
        <v>60</v>
      </c>
      <c r="W7" s="132">
        <v>42790</v>
      </c>
      <c r="X7" s="10">
        <v>80.83</v>
      </c>
      <c r="Y7" s="10">
        <v>81.75</v>
      </c>
      <c r="Z7" s="10">
        <v>80.64</v>
      </c>
      <c r="AA7" s="10">
        <v>81.48</v>
      </c>
      <c r="AB7" s="94">
        <v>5118400</v>
      </c>
      <c r="AC7" s="10">
        <v>81.48</v>
      </c>
      <c r="AD7" s="2"/>
      <c r="AE7" s="137">
        <f t="shared" si="1"/>
        <v>7.6675735839724091E-3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72.519999999996799</v>
      </c>
      <c r="W8" s="132">
        <v>42789</v>
      </c>
      <c r="X8" s="10">
        <v>80.22</v>
      </c>
      <c r="Y8" s="10">
        <v>81.430000000000007</v>
      </c>
      <c r="Z8" s="10">
        <v>80.010000000000005</v>
      </c>
      <c r="AA8" s="10">
        <v>80.86</v>
      </c>
      <c r="AB8" s="94">
        <v>6302400</v>
      </c>
      <c r="AC8" s="10">
        <v>80.86</v>
      </c>
      <c r="AD8" s="2"/>
      <c r="AE8" s="137">
        <f t="shared" si="1"/>
        <v>8.7325349301397015E-3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1.5262612912186677E-2</v>
      </c>
      <c r="W9" s="132">
        <v>42788</v>
      </c>
      <c r="X9" s="10">
        <v>79.75</v>
      </c>
      <c r="Y9" s="10">
        <v>80.47</v>
      </c>
      <c r="Z9" s="10">
        <v>79.45</v>
      </c>
      <c r="AA9" s="10">
        <v>80.16</v>
      </c>
      <c r="AB9" s="94">
        <v>4948000</v>
      </c>
      <c r="AC9" s="10">
        <v>80.16</v>
      </c>
      <c r="AD9" s="2"/>
      <c r="AE9" s="137">
        <f t="shared" si="1"/>
        <v>5.015045135406071E-3</v>
      </c>
    </row>
    <row r="10" spans="1:31" x14ac:dyDescent="0.25">
      <c r="H10" s="71"/>
      <c r="O10" s="11" t="s">
        <v>212</v>
      </c>
      <c r="P10" s="34"/>
      <c r="Q10" s="2">
        <v>0</v>
      </c>
      <c r="W10" s="132">
        <v>42787</v>
      </c>
      <c r="X10" s="10">
        <v>79.61</v>
      </c>
      <c r="Y10" s="10">
        <v>80.39</v>
      </c>
      <c r="Z10" s="10">
        <v>79.13</v>
      </c>
      <c r="AA10" s="10">
        <v>79.760000000000005</v>
      </c>
      <c r="AB10" s="94">
        <v>6193800</v>
      </c>
      <c r="AC10" s="10">
        <v>79.760000000000005</v>
      </c>
      <c r="AD10" s="2"/>
      <c r="AE10" s="137">
        <f t="shared" si="1"/>
        <v>8.7840381478243579E-4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2.46E-2</v>
      </c>
      <c r="W11" s="132">
        <v>42783</v>
      </c>
      <c r="X11" s="10">
        <v>79.45</v>
      </c>
      <c r="Y11" s="10">
        <v>79.989999999999995</v>
      </c>
      <c r="Z11" s="10">
        <v>79.319999999999993</v>
      </c>
      <c r="AA11" s="10">
        <v>79.69</v>
      </c>
      <c r="AB11" s="94">
        <v>6211600</v>
      </c>
      <c r="AC11" s="10">
        <v>79.69</v>
      </c>
      <c r="AD11" s="2"/>
      <c r="AE11" s="137">
        <f t="shared" si="1"/>
        <v>3.0207677784770404E-3</v>
      </c>
    </row>
    <row r="12" spans="1:31" x14ac:dyDescent="0.25">
      <c r="H12" s="71"/>
      <c r="W12" s="132">
        <v>42782</v>
      </c>
      <c r="X12" s="10">
        <v>79.5</v>
      </c>
      <c r="Y12" s="10">
        <v>80.2</v>
      </c>
      <c r="Z12" s="10">
        <v>79.260000000000005</v>
      </c>
      <c r="AA12" s="10">
        <v>79.45</v>
      </c>
      <c r="AB12" s="94">
        <v>4934100</v>
      </c>
      <c r="AC12" s="10">
        <v>79.45</v>
      </c>
      <c r="AD12" s="2"/>
      <c r="AE12" s="137">
        <f t="shared" si="1"/>
        <v>5.037148973681127E-4</v>
      </c>
    </row>
    <row r="13" spans="1:31" x14ac:dyDescent="0.25">
      <c r="H13" s="71"/>
      <c r="W13" s="132">
        <v>42781</v>
      </c>
      <c r="X13" s="10">
        <v>78.88</v>
      </c>
      <c r="Y13" s="10">
        <v>79.52</v>
      </c>
      <c r="Z13" s="10">
        <v>78.83</v>
      </c>
      <c r="AA13" s="10">
        <v>79.41</v>
      </c>
      <c r="AB13" s="94">
        <v>5569100</v>
      </c>
      <c r="AC13" s="10">
        <v>79.41</v>
      </c>
      <c r="AD13" s="2"/>
      <c r="AE13" s="137">
        <f t="shared" si="1"/>
        <v>9.4063810855471441E-3</v>
      </c>
    </row>
    <row r="14" spans="1:31" x14ac:dyDescent="0.25">
      <c r="H14" s="71"/>
      <c r="W14" s="132">
        <v>42780</v>
      </c>
      <c r="X14" s="10">
        <v>78.760000000000005</v>
      </c>
      <c r="Y14" s="10">
        <v>78.95</v>
      </c>
      <c r="Z14" s="10">
        <v>78.06</v>
      </c>
      <c r="AA14" s="10">
        <v>78.67</v>
      </c>
      <c r="AB14" s="94">
        <v>5477200</v>
      </c>
      <c r="AC14" s="10">
        <v>78.67</v>
      </c>
      <c r="AD14" s="2"/>
      <c r="AE14" s="137">
        <f t="shared" si="1"/>
        <v>-3.8119440914863301E-4</v>
      </c>
    </row>
    <row r="15" spans="1:31" x14ac:dyDescent="0.25">
      <c r="H15" s="71"/>
      <c r="W15" s="132">
        <v>42779</v>
      </c>
      <c r="X15" s="10">
        <v>78.98</v>
      </c>
      <c r="Y15" s="10">
        <v>79.23</v>
      </c>
      <c r="Z15" s="10">
        <v>78.349999999999994</v>
      </c>
      <c r="AA15" s="10">
        <v>78.7</v>
      </c>
      <c r="AB15" s="94">
        <v>5645800</v>
      </c>
      <c r="AC15" s="10">
        <v>78.7</v>
      </c>
      <c r="AD15" s="2"/>
      <c r="AE15" s="137">
        <f t="shared" si="1"/>
        <v>2.1647777919266975E-3</v>
      </c>
    </row>
    <row r="16" spans="1:31" x14ac:dyDescent="0.25">
      <c r="H16" s="71"/>
      <c r="W16" s="132">
        <v>42776</v>
      </c>
      <c r="X16" s="10">
        <v>77.44</v>
      </c>
      <c r="Y16" s="10">
        <v>79.12</v>
      </c>
      <c r="Z16" s="10">
        <v>76.95</v>
      </c>
      <c r="AA16" s="10">
        <v>78.53</v>
      </c>
      <c r="AB16" s="94">
        <v>9367000</v>
      </c>
      <c r="AC16" s="10">
        <v>78.53</v>
      </c>
      <c r="AD16" s="2"/>
      <c r="AE16" s="137">
        <f t="shared" si="1"/>
        <v>1.5780623463976129E-2</v>
      </c>
    </row>
    <row r="17" spans="1:31" x14ac:dyDescent="0.25">
      <c r="W17" s="132">
        <v>42775</v>
      </c>
      <c r="X17" s="10">
        <v>77.03</v>
      </c>
      <c r="Y17" s="10">
        <v>77.8</v>
      </c>
      <c r="Z17" s="10">
        <v>75.209999999999994</v>
      </c>
      <c r="AA17" s="10">
        <v>77.31</v>
      </c>
      <c r="AB17" s="94">
        <v>13944000</v>
      </c>
      <c r="AC17" s="10">
        <v>77.31</v>
      </c>
      <c r="AD17" s="2"/>
      <c r="AE17" s="137">
        <f t="shared" si="1"/>
        <v>3.6349474230819023E-3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160</v>
      </c>
      <c r="I18" s="18"/>
      <c r="J18" s="18"/>
      <c r="K18" s="18">
        <f>SUM(K2:K5)</f>
        <v>12822.119999999999</v>
      </c>
      <c r="L18" s="14"/>
      <c r="M18" s="18">
        <f>SUM(M2:M10)</f>
        <v>57</v>
      </c>
      <c r="W18" s="132">
        <v>42774</v>
      </c>
      <c r="X18" s="10">
        <v>76.209999999999994</v>
      </c>
      <c r="Y18" s="10">
        <v>77.150000000000006</v>
      </c>
      <c r="Z18" s="10">
        <v>76.13</v>
      </c>
      <c r="AA18" s="10">
        <v>77.03</v>
      </c>
      <c r="AB18" s="94">
        <v>6788500</v>
      </c>
      <c r="AC18" s="10">
        <v>77.03</v>
      </c>
      <c r="AD18" s="2"/>
      <c r="AE18" s="137">
        <f t="shared" si="1"/>
        <v>8.7742273441593355E-3</v>
      </c>
    </row>
    <row r="19" spans="1:31" ht="15.75" thickBot="1" x14ac:dyDescent="0.3">
      <c r="A19" s="353" t="s">
        <v>197</v>
      </c>
      <c r="B19" s="354"/>
      <c r="C19" s="355">
        <f>SumByColor($A$19,C2:C17)</f>
        <v>160</v>
      </c>
      <c r="D19" s="355"/>
      <c r="E19" s="355"/>
      <c r="F19" s="356">
        <f>SumByColor($A$19,F2:F17)</f>
        <v>12745</v>
      </c>
      <c r="G19" s="355"/>
      <c r="H19" s="355">
        <f>SumByColor($A$19,H2:H17)</f>
        <v>160</v>
      </c>
      <c r="I19" s="355"/>
      <c r="J19" s="355"/>
      <c r="K19" s="356">
        <f>SumByColor($A$19,K2:K17)</f>
        <v>12822</v>
      </c>
      <c r="L19" s="355"/>
      <c r="M19" s="356">
        <f>SumByColor($A$19,M2:M17)</f>
        <v>57</v>
      </c>
      <c r="W19" s="132">
        <v>42773</v>
      </c>
      <c r="X19" s="10">
        <v>76.12</v>
      </c>
      <c r="Y19" s="10">
        <v>76.73</v>
      </c>
      <c r="Z19" s="10">
        <v>75.5</v>
      </c>
      <c r="AA19" s="10">
        <v>76.36</v>
      </c>
      <c r="AB19" s="94">
        <v>5739900</v>
      </c>
      <c r="AC19" s="10">
        <v>76.36</v>
      </c>
      <c r="AD19" s="2"/>
      <c r="AE19" s="137">
        <f t="shared" si="1"/>
        <v>3.8122781648481929E-3</v>
      </c>
    </row>
    <row r="20" spans="1:31" x14ac:dyDescent="0.25">
      <c r="W20" s="132">
        <v>42772</v>
      </c>
      <c r="X20" s="10">
        <v>75.599999999999994</v>
      </c>
      <c r="Y20" s="10">
        <v>76.819999999999993</v>
      </c>
      <c r="Z20" s="10">
        <v>75.53</v>
      </c>
      <c r="AA20" s="10">
        <v>76.069999999999993</v>
      </c>
      <c r="AB20" s="94">
        <v>9559500</v>
      </c>
      <c r="AC20" s="10">
        <v>76.069999999999993</v>
      </c>
      <c r="AD20" s="2"/>
      <c r="AE20" s="137">
        <f t="shared" si="1"/>
        <v>8.0837529817121556E-3</v>
      </c>
    </row>
    <row r="21" spans="1:31" x14ac:dyDescent="0.25">
      <c r="W21" s="132">
        <v>42769</v>
      </c>
      <c r="X21" s="10">
        <v>75.34</v>
      </c>
      <c r="Y21" s="10">
        <v>76.42</v>
      </c>
      <c r="Z21" s="10">
        <v>75.28</v>
      </c>
      <c r="AA21" s="10">
        <v>75.459999999999994</v>
      </c>
      <c r="AB21" s="94">
        <v>11937000</v>
      </c>
      <c r="AC21" s="10">
        <v>75.459999999999994</v>
      </c>
      <c r="AD21" s="2"/>
      <c r="AE21" s="137">
        <f t="shared" si="1"/>
        <v>8.8235294117646745E-3</v>
      </c>
    </row>
    <row r="22" spans="1:31" x14ac:dyDescent="0.25">
      <c r="W22" s="132">
        <v>42768</v>
      </c>
      <c r="X22" s="10">
        <v>76.349999999999994</v>
      </c>
      <c r="Y22" s="10">
        <v>76.349999999999994</v>
      </c>
      <c r="Z22" s="10">
        <v>74.05</v>
      </c>
      <c r="AA22" s="10">
        <v>74.8</v>
      </c>
      <c r="AB22" s="94">
        <v>18840200</v>
      </c>
      <c r="AC22" s="10">
        <v>74.8</v>
      </c>
      <c r="AD22" s="2"/>
      <c r="AE22" s="137">
        <f t="shared" si="1"/>
        <v>-4.0656662819033018E-2</v>
      </c>
    </row>
    <row r="23" spans="1:31" x14ac:dyDescent="0.25">
      <c r="W23" s="132">
        <v>42767</v>
      </c>
      <c r="X23" s="10">
        <v>78.650000000000006</v>
      </c>
      <c r="Y23" s="10">
        <v>79.099999999999994</v>
      </c>
      <c r="Z23" s="10">
        <v>77.69</v>
      </c>
      <c r="AA23" s="10">
        <v>77.97</v>
      </c>
      <c r="AB23" s="94">
        <v>6463100</v>
      </c>
      <c r="AC23" s="10">
        <v>77.97</v>
      </c>
      <c r="AD23" s="2"/>
      <c r="AE23" s="137">
        <f t="shared" si="1"/>
        <v>-1.0658545869813518E-2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78.55</v>
      </c>
      <c r="Y24" s="10">
        <v>79.3</v>
      </c>
      <c r="Z24" s="10">
        <v>78.510000000000005</v>
      </c>
      <c r="AA24" s="10">
        <v>78.81</v>
      </c>
      <c r="AB24" s="94">
        <v>6435200</v>
      </c>
      <c r="AC24" s="10">
        <v>78.81</v>
      </c>
      <c r="AD24" s="2"/>
      <c r="AE24" s="137">
        <f t="shared" si="1"/>
        <v>1.6522623284187521E-3</v>
      </c>
    </row>
    <row r="25" spans="1:31" x14ac:dyDescent="0.25">
      <c r="B25" s="192">
        <v>42626</v>
      </c>
      <c r="C25" s="10">
        <v>20</v>
      </c>
      <c r="D25" s="40">
        <v>90.85</v>
      </c>
      <c r="E25" s="40">
        <v>90.93</v>
      </c>
      <c r="F25" s="40">
        <f t="shared" ref="F25:F43" si="2">C25*(E25-D25)</f>
        <v>1.6000000000002501</v>
      </c>
      <c r="G25" s="40">
        <f t="shared" ref="G25:G43" si="3">D25*C25</f>
        <v>1817</v>
      </c>
      <c r="H25" s="230">
        <f t="shared" ref="H25:H43" si="4">(E25-D25)/D25</f>
        <v>8.8057237204196487E-4</v>
      </c>
      <c r="I25" s="40"/>
      <c r="W25" s="132">
        <v>42765</v>
      </c>
      <c r="X25" s="10">
        <v>77.459999999999994</v>
      </c>
      <c r="Y25" s="10">
        <v>79.02</v>
      </c>
      <c r="Z25" s="10">
        <v>77.319999999999993</v>
      </c>
      <c r="AA25" s="10">
        <v>78.680000000000007</v>
      </c>
      <c r="AB25" s="94">
        <v>7488500</v>
      </c>
      <c r="AC25" s="10">
        <v>78.680000000000007</v>
      </c>
      <c r="AD25" s="2"/>
      <c r="AE25" s="137">
        <f t="shared" si="1"/>
        <v>1.1961414790996772E-2</v>
      </c>
    </row>
    <row r="26" spans="1:31" x14ac:dyDescent="0.25">
      <c r="B26" s="192">
        <v>42627</v>
      </c>
      <c r="C26" s="10">
        <v>20</v>
      </c>
      <c r="D26" s="40">
        <v>90.85</v>
      </c>
      <c r="E26" s="40">
        <v>89.44</v>
      </c>
      <c r="F26" s="40">
        <f t="shared" si="2"/>
        <v>-28.199999999999932</v>
      </c>
      <c r="G26" s="40">
        <f t="shared" si="3"/>
        <v>1817</v>
      </c>
      <c r="H26" s="230">
        <f t="shared" si="4"/>
        <v>-1.5520088057237168E-2</v>
      </c>
      <c r="I26" s="40"/>
      <c r="W26" s="132">
        <v>42762</v>
      </c>
      <c r="X26" s="10">
        <v>79.83</v>
      </c>
      <c r="Y26" s="10">
        <v>79.89</v>
      </c>
      <c r="Z26" s="10">
        <v>77.03</v>
      </c>
      <c r="AA26" s="10">
        <v>77.75</v>
      </c>
      <c r="AB26" s="94">
        <v>10924400</v>
      </c>
      <c r="AC26" s="10">
        <v>77.75</v>
      </c>
      <c r="AD26" s="2"/>
      <c r="AE26" s="137">
        <f t="shared" si="1"/>
        <v>-1.991680322702627E-2</v>
      </c>
    </row>
    <row r="27" spans="1:31" x14ac:dyDescent="0.25">
      <c r="B27" s="192">
        <v>42640</v>
      </c>
      <c r="C27" s="10">
        <v>20</v>
      </c>
      <c r="D27" s="40">
        <v>90.85</v>
      </c>
      <c r="E27" s="40">
        <v>90.56</v>
      </c>
      <c r="F27" s="40">
        <f t="shared" si="2"/>
        <v>-5.7999999999998408</v>
      </c>
      <c r="G27" s="40">
        <f t="shared" si="3"/>
        <v>1817</v>
      </c>
      <c r="H27" s="230">
        <f t="shared" si="4"/>
        <v>-3.1920748486515362E-3</v>
      </c>
      <c r="I27" s="40"/>
      <c r="W27" s="132">
        <v>42761</v>
      </c>
      <c r="X27" s="10">
        <v>79.08</v>
      </c>
      <c r="Y27" s="10">
        <v>80.42</v>
      </c>
      <c r="Z27" s="10">
        <v>78.44</v>
      </c>
      <c r="AA27" s="10">
        <v>79.33</v>
      </c>
      <c r="AB27" s="94">
        <v>7627500</v>
      </c>
      <c r="AC27" s="10">
        <v>79.33</v>
      </c>
      <c r="AD27" s="2"/>
      <c r="AE27" s="137">
        <f t="shared" si="1"/>
        <v>-2.0128318027424763E-3</v>
      </c>
    </row>
    <row r="28" spans="1:31" x14ac:dyDescent="0.25">
      <c r="B28" s="192">
        <v>42646</v>
      </c>
      <c r="C28" s="10">
        <v>40</v>
      </c>
      <c r="D28" s="40">
        <v>89.204999999999998</v>
      </c>
      <c r="E28" s="40">
        <v>87.09</v>
      </c>
      <c r="F28" s="40">
        <f t="shared" si="2"/>
        <v>-84.599999999999795</v>
      </c>
      <c r="G28" s="40">
        <f t="shared" si="3"/>
        <v>3568.2</v>
      </c>
      <c r="H28" s="230">
        <f t="shared" si="4"/>
        <v>-2.3709433327728211E-2</v>
      </c>
      <c r="I28" s="40"/>
      <c r="W28" s="132">
        <v>42760</v>
      </c>
      <c r="X28" s="10">
        <v>81.92</v>
      </c>
      <c r="Y28" s="10">
        <v>82.2</v>
      </c>
      <c r="Z28" s="10">
        <v>79.42</v>
      </c>
      <c r="AA28" s="10">
        <v>79.489999999999995</v>
      </c>
      <c r="AB28" s="94">
        <v>10652200</v>
      </c>
      <c r="AC28" s="10">
        <v>79.489999999999995</v>
      </c>
      <c r="AD28" s="2"/>
      <c r="AE28" s="137">
        <f t="shared" si="1"/>
        <v>-2.8001956468574285E-2</v>
      </c>
    </row>
    <row r="29" spans="1:31" x14ac:dyDescent="0.25">
      <c r="B29" s="192">
        <v>42651</v>
      </c>
      <c r="C29" s="10">
        <v>40</v>
      </c>
      <c r="D29" s="40">
        <v>89.204999999999998</v>
      </c>
      <c r="E29" s="40">
        <v>86.4</v>
      </c>
      <c r="F29" s="40">
        <f t="shared" si="2"/>
        <v>-112.1999999999997</v>
      </c>
      <c r="G29" s="40">
        <f t="shared" si="3"/>
        <v>3568.2</v>
      </c>
      <c r="H29" s="230">
        <f t="shared" si="4"/>
        <v>-3.1444425760887761E-2</v>
      </c>
      <c r="I29" s="40"/>
      <c r="W29" s="132">
        <v>42759</v>
      </c>
      <c r="X29" s="10">
        <v>81.349999999999994</v>
      </c>
      <c r="Y29" s="10">
        <v>82.15</v>
      </c>
      <c r="Z29" s="10">
        <v>81.12</v>
      </c>
      <c r="AA29" s="10">
        <v>81.78</v>
      </c>
      <c r="AB29" s="94">
        <v>4743700</v>
      </c>
      <c r="AC29" s="10">
        <v>81.78</v>
      </c>
      <c r="AD29" s="2"/>
      <c r="AE29" s="137">
        <f t="shared" si="1"/>
        <v>6.5230769230768537E-3</v>
      </c>
    </row>
    <row r="30" spans="1:31" x14ac:dyDescent="0.25">
      <c r="B30" s="192">
        <v>42674</v>
      </c>
      <c r="C30" s="10">
        <v>40</v>
      </c>
      <c r="D30" s="40">
        <v>89.204999999999998</v>
      </c>
      <c r="E30" s="40">
        <v>84.1</v>
      </c>
      <c r="F30" s="40">
        <f t="shared" si="2"/>
        <v>-204.20000000000016</v>
      </c>
      <c r="G30" s="40">
        <f t="shared" si="3"/>
        <v>3568.2</v>
      </c>
      <c r="H30" s="230">
        <f t="shared" si="4"/>
        <v>-5.7227733871419807E-2</v>
      </c>
      <c r="I30" s="40"/>
      <c r="W30" s="132">
        <v>42758</v>
      </c>
      <c r="X30" s="10">
        <v>81.5</v>
      </c>
      <c r="Y30" s="10">
        <v>81.93</v>
      </c>
      <c r="Z30" s="10">
        <v>81.02</v>
      </c>
      <c r="AA30" s="10">
        <v>81.25</v>
      </c>
      <c r="AB30" s="94">
        <v>6305900</v>
      </c>
      <c r="AC30" s="10">
        <v>81.25</v>
      </c>
      <c r="AD30" s="2"/>
      <c r="AE30" s="137">
        <f t="shared" si="1"/>
        <v>-3.8008827856792493E-3</v>
      </c>
    </row>
    <row r="31" spans="1:31" x14ac:dyDescent="0.25">
      <c r="B31" s="192">
        <v>42677</v>
      </c>
      <c r="C31" s="10">
        <v>80</v>
      </c>
      <c r="D31" s="40">
        <v>85.38</v>
      </c>
      <c r="E31" s="40">
        <v>81.569999999999993</v>
      </c>
      <c r="F31" s="40">
        <f t="shared" si="2"/>
        <v>-304.80000000000018</v>
      </c>
      <c r="G31" s="40">
        <f t="shared" si="3"/>
        <v>6830.4</v>
      </c>
      <c r="H31" s="230">
        <f t="shared" si="4"/>
        <v>-4.4624033731553089E-2</v>
      </c>
      <c r="I31" s="40" t="s">
        <v>188</v>
      </c>
      <c r="W31" s="132">
        <v>42755</v>
      </c>
      <c r="X31" s="10">
        <v>83.29</v>
      </c>
      <c r="Y31" s="10">
        <v>83.43</v>
      </c>
      <c r="Z31" s="10">
        <v>81.31</v>
      </c>
      <c r="AA31" s="10">
        <v>81.56</v>
      </c>
      <c r="AB31" s="94">
        <v>8004100</v>
      </c>
      <c r="AC31" s="10">
        <v>81.56</v>
      </c>
      <c r="AD31" s="2"/>
      <c r="AE31" s="137" t="e">
        <f t="shared" si="1"/>
        <v>#DIV/0!</v>
      </c>
    </row>
    <row r="32" spans="1:31" x14ac:dyDescent="0.25">
      <c r="B32" s="192">
        <v>42702</v>
      </c>
      <c r="C32" s="10">
        <v>80</v>
      </c>
      <c r="D32" s="40">
        <v>85.38</v>
      </c>
      <c r="E32" s="40">
        <v>74.06</v>
      </c>
      <c r="F32" s="40">
        <f t="shared" si="2"/>
        <v>-905.59999999999945</v>
      </c>
      <c r="G32" s="40">
        <f t="shared" si="3"/>
        <v>6830.4</v>
      </c>
      <c r="H32" s="230">
        <f t="shared" si="4"/>
        <v>-0.13258374326540165</v>
      </c>
      <c r="I32" s="40"/>
      <c r="W32" s="132">
        <v>42755</v>
      </c>
      <c r="X32" s="10" t="s">
        <v>383</v>
      </c>
      <c r="Y32" s="10"/>
      <c r="Z32" s="10"/>
      <c r="AA32" s="10"/>
      <c r="AB32" s="94"/>
      <c r="AC32" s="10"/>
      <c r="AD32" s="2"/>
      <c r="AE32" s="137">
        <f t="shared" si="1"/>
        <v>-1</v>
      </c>
    </row>
    <row r="33" spans="1:31" x14ac:dyDescent="0.25">
      <c r="B33" s="192">
        <v>42704</v>
      </c>
      <c r="C33" s="10">
        <v>80</v>
      </c>
      <c r="D33" s="40">
        <v>85.38</v>
      </c>
      <c r="E33" s="40">
        <v>76.89</v>
      </c>
      <c r="F33" s="40">
        <f t="shared" si="2"/>
        <v>-679.19999999999959</v>
      </c>
      <c r="G33" s="40">
        <f t="shared" si="3"/>
        <v>6830.4</v>
      </c>
      <c r="H33" s="230">
        <f t="shared" si="4"/>
        <v>-9.9437807449051244E-2</v>
      </c>
      <c r="I33" s="40"/>
      <c r="W33" s="132">
        <v>42754</v>
      </c>
      <c r="X33" s="10">
        <v>83.17</v>
      </c>
      <c r="Y33" s="10">
        <v>83.86</v>
      </c>
      <c r="Z33" s="10">
        <v>82.32</v>
      </c>
      <c r="AA33" s="10">
        <v>83.2</v>
      </c>
      <c r="AB33" s="94">
        <v>5220700</v>
      </c>
      <c r="AC33" s="10">
        <v>82.7</v>
      </c>
      <c r="AD33" s="2"/>
      <c r="AE33" s="137">
        <f t="shared" si="1"/>
        <v>-4.0944123314066161E-3</v>
      </c>
    </row>
    <row r="34" spans="1:31" x14ac:dyDescent="0.25">
      <c r="B34" s="192">
        <v>42729</v>
      </c>
      <c r="C34" s="10">
        <v>80</v>
      </c>
      <c r="D34" s="40">
        <v>85.38</v>
      </c>
      <c r="E34" s="40">
        <v>79.14</v>
      </c>
      <c r="F34" s="40">
        <f t="shared" si="2"/>
        <v>-499.19999999999959</v>
      </c>
      <c r="G34" s="40">
        <f t="shared" si="3"/>
        <v>6830.4</v>
      </c>
      <c r="H34" s="230">
        <f t="shared" si="4"/>
        <v>-7.3085031623330937E-2</v>
      </c>
      <c r="I34" s="40"/>
      <c r="W34" s="132">
        <v>42753</v>
      </c>
      <c r="X34" s="10">
        <v>84.49</v>
      </c>
      <c r="Y34" s="10">
        <v>84.72</v>
      </c>
      <c r="Z34" s="10">
        <v>83.2</v>
      </c>
      <c r="AA34" s="10">
        <v>83.54</v>
      </c>
      <c r="AB34" s="94">
        <v>5263100</v>
      </c>
      <c r="AC34" s="10">
        <v>83.04</v>
      </c>
      <c r="AD34" s="2"/>
      <c r="AE34" s="137">
        <f t="shared" si="1"/>
        <v>-4.5552625269719149E-3</v>
      </c>
    </row>
    <row r="35" spans="1:31" x14ac:dyDescent="0.25">
      <c r="B35" s="192">
        <v>42745</v>
      </c>
      <c r="C35" s="10">
        <v>80</v>
      </c>
      <c r="D35" s="40">
        <v>85.38</v>
      </c>
      <c r="E35" s="40">
        <v>82.67</v>
      </c>
      <c r="F35" s="40">
        <f t="shared" si="2"/>
        <v>-216.7999999999995</v>
      </c>
      <c r="G35" s="40">
        <f t="shared" si="3"/>
        <v>6830.4</v>
      </c>
      <c r="H35" s="230">
        <f t="shared" si="4"/>
        <v>-3.1740454438978612E-2</v>
      </c>
      <c r="I35" s="40"/>
      <c r="W35" s="132">
        <v>42752</v>
      </c>
      <c r="X35" s="10">
        <v>81.96</v>
      </c>
      <c r="Y35" s="10">
        <v>83.98</v>
      </c>
      <c r="Z35" s="10">
        <v>81.91</v>
      </c>
      <c r="AA35" s="10">
        <v>83.92</v>
      </c>
      <c r="AB35" s="94">
        <v>7292700</v>
      </c>
      <c r="AC35" s="10">
        <v>83.42</v>
      </c>
      <c r="AD35" s="2"/>
      <c r="AE35" s="137">
        <f t="shared" si="1"/>
        <v>2.3683887593569874E-2</v>
      </c>
    </row>
    <row r="36" spans="1:31" x14ac:dyDescent="0.25">
      <c r="B36" s="192">
        <v>42756</v>
      </c>
      <c r="C36" s="7">
        <v>80</v>
      </c>
      <c r="D36" s="44">
        <v>85.38</v>
      </c>
      <c r="E36" s="40">
        <v>81.56</v>
      </c>
      <c r="F36" s="40">
        <f t="shared" si="2"/>
        <v>-305.59999999999945</v>
      </c>
      <c r="G36" s="40">
        <f t="shared" si="3"/>
        <v>6830.4</v>
      </c>
      <c r="H36" s="230">
        <f t="shared" si="4"/>
        <v>-4.4741157179667292E-2</v>
      </c>
      <c r="I36" s="40"/>
      <c r="W36" s="132">
        <v>42748</v>
      </c>
      <c r="X36" s="10">
        <v>82.7</v>
      </c>
      <c r="Y36" s="10">
        <v>82.91</v>
      </c>
      <c r="Z36" s="10">
        <v>81.75</v>
      </c>
      <c r="AA36" s="10">
        <v>81.98</v>
      </c>
      <c r="AB36" s="94">
        <v>4809200</v>
      </c>
      <c r="AC36" s="10">
        <v>81.489999999999995</v>
      </c>
      <c r="AD36" s="2"/>
      <c r="AE36" s="137">
        <f t="shared" si="1"/>
        <v>-7.4299634591961095E-3</v>
      </c>
    </row>
    <row r="37" spans="1:31" x14ac:dyDescent="0.25">
      <c r="B37" s="192">
        <v>42760</v>
      </c>
      <c r="C37" s="10">
        <v>100</v>
      </c>
      <c r="D37" s="40">
        <v>84.36</v>
      </c>
      <c r="E37" s="40">
        <v>79.489999999999995</v>
      </c>
      <c r="F37" s="40">
        <f t="shared" si="2"/>
        <v>-487.00000000000045</v>
      </c>
      <c r="G37" s="40">
        <f t="shared" si="3"/>
        <v>8436</v>
      </c>
      <c r="H37" s="230">
        <f t="shared" si="4"/>
        <v>-5.7728781412991995E-2</v>
      </c>
      <c r="I37" s="40"/>
      <c r="W37" s="132">
        <v>42747</v>
      </c>
      <c r="X37" s="10">
        <v>82.92</v>
      </c>
      <c r="Y37" s="10">
        <v>83.21</v>
      </c>
      <c r="Z37" s="10">
        <v>82.38</v>
      </c>
      <c r="AA37" s="10">
        <v>82.6</v>
      </c>
      <c r="AB37" s="94">
        <v>5774300</v>
      </c>
      <c r="AC37" s="10">
        <v>82.1</v>
      </c>
      <c r="AD37" s="2"/>
      <c r="AE37" s="137">
        <f t="shared" si="1"/>
        <v>-2.0663668408897884E-3</v>
      </c>
    </row>
    <row r="38" spans="1:31" x14ac:dyDescent="0.25">
      <c r="B38" s="192">
        <v>42762</v>
      </c>
      <c r="C38" s="10">
        <v>180</v>
      </c>
      <c r="D38" s="40">
        <v>81.169280000000001</v>
      </c>
      <c r="E38" s="40">
        <v>77.75</v>
      </c>
      <c r="F38" s="40">
        <f t="shared" si="2"/>
        <v>-615.47040000000015</v>
      </c>
      <c r="G38" s="40">
        <f t="shared" si="3"/>
        <v>14610.4704</v>
      </c>
      <c r="H38" s="230">
        <f t="shared" si="4"/>
        <v>-4.2125296663959574E-2</v>
      </c>
      <c r="I38" s="40"/>
      <c r="W38" s="132">
        <v>42746</v>
      </c>
      <c r="X38" s="10">
        <v>82.22</v>
      </c>
      <c r="Y38" s="10">
        <v>83.11</v>
      </c>
      <c r="Z38" s="10">
        <v>81.73</v>
      </c>
      <c r="AA38" s="10">
        <v>82.77</v>
      </c>
      <c r="AB38" s="94">
        <v>6404200</v>
      </c>
      <c r="AC38" s="10">
        <v>82.27</v>
      </c>
      <c r="AD38" s="2"/>
      <c r="AE38" s="137">
        <f t="shared" si="1"/>
        <v>1.2169891687963119E-3</v>
      </c>
    </row>
    <row r="39" spans="1:31" x14ac:dyDescent="0.25">
      <c r="A39" t="s">
        <v>414</v>
      </c>
      <c r="B39" s="192">
        <v>42762</v>
      </c>
      <c r="C39" s="10">
        <v>140</v>
      </c>
      <c r="D39" s="40">
        <v>82.137640000000005</v>
      </c>
      <c r="E39" s="40">
        <v>77.75</v>
      </c>
      <c r="F39" s="40">
        <f t="shared" si="2"/>
        <v>-614.26960000000065</v>
      </c>
      <c r="G39" s="40">
        <f t="shared" si="3"/>
        <v>11499.269600000001</v>
      </c>
      <c r="H39" s="230">
        <f t="shared" si="4"/>
        <v>-5.3418140574771865E-2</v>
      </c>
      <c r="I39" s="40"/>
      <c r="W39" s="132">
        <v>42745</v>
      </c>
      <c r="X39" s="10">
        <v>81.72</v>
      </c>
      <c r="Y39" s="10">
        <v>82.89</v>
      </c>
      <c r="Z39" s="10">
        <v>81.510000000000005</v>
      </c>
      <c r="AA39" s="10">
        <v>82.67</v>
      </c>
      <c r="AB39" s="94">
        <v>7053300</v>
      </c>
      <c r="AC39" s="10">
        <v>82.17</v>
      </c>
      <c r="AD39" s="2"/>
      <c r="AE39" s="137">
        <f t="shared" si="1"/>
        <v>1.1821204285186626E-2</v>
      </c>
    </row>
    <row r="40" spans="1:31" ht="20.25" thickBot="1" x14ac:dyDescent="0.35">
      <c r="A40" t="s">
        <v>432</v>
      </c>
      <c r="B40" s="192">
        <v>42768</v>
      </c>
      <c r="C40" s="10">
        <v>180</v>
      </c>
      <c r="D40" s="40">
        <v>80.347059999999999</v>
      </c>
      <c r="E40" s="40">
        <v>74.8</v>
      </c>
      <c r="F40" s="40">
        <f t="shared" si="2"/>
        <v>-998.47080000000028</v>
      </c>
      <c r="G40" s="40">
        <f t="shared" si="3"/>
        <v>14462.470799999999</v>
      </c>
      <c r="H40" s="230">
        <f t="shared" si="4"/>
        <v>-6.903874267459198E-2</v>
      </c>
      <c r="I40" s="40" t="s">
        <v>188</v>
      </c>
      <c r="O40" s="703" t="s">
        <v>78</v>
      </c>
      <c r="P40" s="703"/>
      <c r="W40" s="132">
        <v>42744</v>
      </c>
      <c r="X40" s="10">
        <v>82.2</v>
      </c>
      <c r="Y40" s="10">
        <v>82.38</v>
      </c>
      <c r="Z40" s="10">
        <v>81.16</v>
      </c>
      <c r="AA40" s="10">
        <v>81.7</v>
      </c>
      <c r="AB40" s="94">
        <v>6847600</v>
      </c>
      <c r="AC40" s="10">
        <v>81.209999999999994</v>
      </c>
      <c r="AD40" s="2"/>
      <c r="AE40" s="137">
        <f t="shared" si="1"/>
        <v>-6.1192020560518756E-3</v>
      </c>
    </row>
    <row r="41" spans="1:31" ht="15.75" thickTop="1" x14ac:dyDescent="0.25">
      <c r="A41" t="s">
        <v>432</v>
      </c>
      <c r="B41" s="192">
        <v>42778</v>
      </c>
      <c r="C41" s="10">
        <v>180</v>
      </c>
      <c r="D41" s="40">
        <v>80.347059999999999</v>
      </c>
      <c r="E41" s="40">
        <v>78.53</v>
      </c>
      <c r="F41" s="40">
        <f t="shared" si="2"/>
        <v>-327.07079999999962</v>
      </c>
      <c r="G41" s="40">
        <f t="shared" si="3"/>
        <v>14462.470799999999</v>
      </c>
      <c r="H41" s="230">
        <f t="shared" si="4"/>
        <v>-2.2615139869461284E-2</v>
      </c>
      <c r="I41" s="40"/>
      <c r="O41" s="82">
        <v>1.1000000000000001</v>
      </c>
      <c r="P41" s="82">
        <f>O41*$Q$4</f>
        <v>88.440000000000012</v>
      </c>
      <c r="Q41" s="2"/>
      <c r="W41" s="132">
        <v>42741</v>
      </c>
      <c r="X41" s="10">
        <v>81.41</v>
      </c>
      <c r="Y41" s="10">
        <v>82.46</v>
      </c>
      <c r="Z41" s="10">
        <v>80.94</v>
      </c>
      <c r="AA41" s="10">
        <v>82.2</v>
      </c>
      <c r="AB41" s="94">
        <v>7087100</v>
      </c>
      <c r="AC41" s="10">
        <v>81.709999999999994</v>
      </c>
      <c r="AD41" s="2"/>
      <c r="AE41" s="137">
        <f t="shared" si="1"/>
        <v>9.6379587297663605E-3</v>
      </c>
    </row>
    <row r="42" spans="1:31" ht="20.25" thickBot="1" x14ac:dyDescent="0.35">
      <c r="A42" t="s">
        <v>502</v>
      </c>
      <c r="B42" s="192">
        <v>42787</v>
      </c>
      <c r="C42" s="10">
        <v>180</v>
      </c>
      <c r="D42" s="40">
        <v>80.346999999999994</v>
      </c>
      <c r="E42" s="40">
        <v>79.760000000000005</v>
      </c>
      <c r="F42" s="40">
        <f t="shared" si="2"/>
        <v>-105.65999999999804</v>
      </c>
      <c r="G42" s="40">
        <f t="shared" si="3"/>
        <v>14462.46</v>
      </c>
      <c r="H42" s="230">
        <f t="shared" si="4"/>
        <v>-7.3058110445939376E-3</v>
      </c>
      <c r="I42" s="40"/>
      <c r="O42" s="82">
        <v>1.0900000000000001</v>
      </c>
      <c r="P42" s="82">
        <f t="shared" ref="P42:P61" si="5">O42*$Q$4</f>
        <v>87.63600000000001</v>
      </c>
      <c r="Q42" s="2"/>
      <c r="T42" s="90" t="s">
        <v>113</v>
      </c>
      <c r="W42" s="132">
        <v>42740</v>
      </c>
      <c r="X42" s="10">
        <v>79.849999999999994</v>
      </c>
      <c r="Y42" s="10">
        <v>81.52</v>
      </c>
      <c r="Z42" s="10">
        <v>78.8</v>
      </c>
      <c r="AA42" s="10">
        <v>81.42</v>
      </c>
      <c r="AB42" s="94">
        <v>8805400</v>
      </c>
      <c r="AC42" s="10">
        <v>80.930000000000007</v>
      </c>
      <c r="AD42" s="2"/>
      <c r="AE42" s="137">
        <f t="shared" si="1"/>
        <v>2.0941087422732485E-2</v>
      </c>
    </row>
    <row r="43" spans="1:31" ht="15.75" thickTop="1" x14ac:dyDescent="0.25">
      <c r="A43" t="s">
        <v>504</v>
      </c>
      <c r="B43" s="192">
        <v>42788</v>
      </c>
      <c r="C43" s="10">
        <v>140</v>
      </c>
      <c r="D43" s="40">
        <v>80.338139999999996</v>
      </c>
      <c r="E43" s="40">
        <v>80.16</v>
      </c>
      <c r="F43" s="40">
        <f t="shared" si="2"/>
        <v>-24.939599999999871</v>
      </c>
      <c r="G43" s="40">
        <f t="shared" si="3"/>
        <v>11247.339599999999</v>
      </c>
      <c r="H43" s="230">
        <f t="shared" si="4"/>
        <v>-2.2173776988115368E-3</v>
      </c>
      <c r="I43" s="40"/>
      <c r="O43" s="82">
        <v>1.08</v>
      </c>
      <c r="P43" s="82">
        <f t="shared" si="5"/>
        <v>86.832000000000008</v>
      </c>
      <c r="Q43" s="2"/>
      <c r="T43" s="127" t="s">
        <v>98</v>
      </c>
      <c r="U43" s="128">
        <v>81.349999999999994</v>
      </c>
      <c r="W43" s="132">
        <v>42739</v>
      </c>
      <c r="X43" s="10">
        <v>80.34</v>
      </c>
      <c r="Y43" s="10">
        <v>80.42</v>
      </c>
      <c r="Z43" s="10">
        <v>79.44</v>
      </c>
      <c r="AA43" s="10">
        <v>79.75</v>
      </c>
      <c r="AB43" s="94">
        <v>7101800</v>
      </c>
      <c r="AC43" s="10">
        <v>79.27</v>
      </c>
      <c r="AD43" s="2"/>
      <c r="AE43" s="137">
        <f t="shared" si="1"/>
        <v>-7.5122073369225939E-3</v>
      </c>
    </row>
    <row r="44" spans="1:31" x14ac:dyDescent="0.25">
      <c r="A44" t="s">
        <v>504</v>
      </c>
      <c r="B44" s="192">
        <v>42790</v>
      </c>
      <c r="C44" s="10">
        <v>140</v>
      </c>
      <c r="D44" s="40">
        <v>80.338139999999996</v>
      </c>
      <c r="E44" s="40">
        <v>81.48</v>
      </c>
      <c r="F44" s="40">
        <f t="shared" ref="F44" si="6">C44*(E44-D44)</f>
        <v>159.86040000000116</v>
      </c>
      <c r="G44" s="40">
        <f t="shared" ref="G44" si="7">D44*C44</f>
        <v>11247.339599999999</v>
      </c>
      <c r="H44" s="230">
        <f t="shared" ref="H44" si="8">(E44-D44)/D44</f>
        <v>1.4213174464830881E-2</v>
      </c>
      <c r="I44" s="40"/>
      <c r="O44" s="82">
        <v>1.07</v>
      </c>
      <c r="P44" s="82">
        <f t="shared" si="5"/>
        <v>86.028000000000006</v>
      </c>
      <c r="Q44" s="2"/>
      <c r="T44" s="92" t="s">
        <v>99</v>
      </c>
      <c r="U44" s="129">
        <v>81.52</v>
      </c>
      <c r="W44" s="132">
        <v>42738</v>
      </c>
      <c r="X44" s="10">
        <v>79.58</v>
      </c>
      <c r="Y44" s="10">
        <v>80.45</v>
      </c>
      <c r="Z44" s="10">
        <v>78.97</v>
      </c>
      <c r="AA44" s="10">
        <v>80.349999999999994</v>
      </c>
      <c r="AB44" s="94">
        <v>5922800</v>
      </c>
      <c r="AC44" s="10">
        <v>79.87</v>
      </c>
      <c r="AD44" s="2"/>
      <c r="AE44" s="137">
        <f t="shared" si="1"/>
        <v>1.8230494645589124E-2</v>
      </c>
    </row>
    <row r="45" spans="1:31" x14ac:dyDescent="0.25">
      <c r="A45" t="s">
        <v>548</v>
      </c>
      <c r="B45" s="192">
        <v>42796</v>
      </c>
      <c r="C45" s="10">
        <v>60</v>
      </c>
      <c r="D45" s="40">
        <v>79.191299999999998</v>
      </c>
      <c r="E45" s="40">
        <v>81.349999999999994</v>
      </c>
      <c r="F45" s="40">
        <f t="shared" ref="F45" si="9">C45*(E45-D45)</f>
        <v>129.52199999999976</v>
      </c>
      <c r="G45" s="40">
        <f t="shared" ref="G45" si="10">D45*C45</f>
        <v>4751.4780000000001</v>
      </c>
      <c r="H45" s="230">
        <f t="shared" ref="H45" si="11">(E45-D45)/D45</f>
        <v>2.7259307524942718E-2</v>
      </c>
      <c r="I45" s="40"/>
      <c r="O45" s="82">
        <v>1.06</v>
      </c>
      <c r="P45" s="82">
        <f t="shared" si="5"/>
        <v>85.224000000000004</v>
      </c>
      <c r="Q45" s="2"/>
      <c r="T45" s="92" t="s">
        <v>100</v>
      </c>
      <c r="U45" s="129" t="s">
        <v>129</v>
      </c>
      <c r="W45" s="132">
        <v>42734</v>
      </c>
      <c r="X45" s="10">
        <v>78.959999999999994</v>
      </c>
      <c r="Y45" s="10">
        <v>79.31</v>
      </c>
      <c r="Z45" s="10">
        <v>78.459999999999994</v>
      </c>
      <c r="AA45" s="10">
        <v>78.91</v>
      </c>
      <c r="AB45" s="94">
        <v>4326100</v>
      </c>
      <c r="AC45" s="10">
        <v>78.44</v>
      </c>
      <c r="AD45" s="2"/>
      <c r="AE45" s="137">
        <f t="shared" si="1"/>
        <v>-1.1460588310200359E-3</v>
      </c>
    </row>
    <row r="46" spans="1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84.420000000000016</v>
      </c>
      <c r="Q46" s="2"/>
      <c r="T46" s="92" t="s">
        <v>101</v>
      </c>
      <c r="U46" s="129" t="s">
        <v>129</v>
      </c>
      <c r="W46" s="132">
        <v>42733</v>
      </c>
      <c r="X46" s="10">
        <v>78.89</v>
      </c>
      <c r="Y46" s="10">
        <v>79.47</v>
      </c>
      <c r="Z46" s="10">
        <v>78.81</v>
      </c>
      <c r="AA46" s="10">
        <v>79</v>
      </c>
      <c r="AB46" s="94">
        <v>3580000</v>
      </c>
      <c r="AC46" s="10">
        <v>78.53</v>
      </c>
      <c r="AD46" s="2"/>
      <c r="AE46" s="137">
        <f t="shared" si="1"/>
        <v>-3.8187372708764489E-4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83.616000000000014</v>
      </c>
      <c r="Q47" s="2"/>
      <c r="T47" s="92" t="s">
        <v>102</v>
      </c>
      <c r="U47" s="129">
        <v>86.47</v>
      </c>
      <c r="W47" s="132">
        <v>42732</v>
      </c>
      <c r="X47" s="10">
        <v>79.3</v>
      </c>
      <c r="Y47" s="10">
        <v>79.37</v>
      </c>
      <c r="Z47" s="10">
        <v>78.64</v>
      </c>
      <c r="AA47" s="10">
        <v>79.040000000000006</v>
      </c>
      <c r="AB47" s="94">
        <v>3390700</v>
      </c>
      <c r="AC47" s="10">
        <v>78.56</v>
      </c>
      <c r="AD47" s="2"/>
      <c r="AE47" s="137">
        <f t="shared" si="1"/>
        <v>-3.1721862707778659E-3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82.812000000000012</v>
      </c>
      <c r="Q48" s="2"/>
      <c r="T48" s="92" t="s">
        <v>103</v>
      </c>
      <c r="U48" s="129">
        <v>0.61025200000000002</v>
      </c>
      <c r="W48" s="132">
        <v>42731</v>
      </c>
      <c r="X48" s="10">
        <v>78.95</v>
      </c>
      <c r="Y48" s="10">
        <v>79.72</v>
      </c>
      <c r="Z48" s="10">
        <v>78.900000000000006</v>
      </c>
      <c r="AA48" s="10">
        <v>79.290000000000006</v>
      </c>
      <c r="AB48" s="94">
        <v>2947700</v>
      </c>
      <c r="AC48" s="10">
        <v>78.81</v>
      </c>
      <c r="AD48" s="2"/>
      <c r="AE48" s="137">
        <f t="shared" si="1"/>
        <v>1.9069412662091612E-3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82.00800000000001</v>
      </c>
      <c r="Q49" s="2"/>
      <c r="T49" s="92" t="s">
        <v>104</v>
      </c>
      <c r="U49" s="129" t="s">
        <v>553</v>
      </c>
      <c r="W49" s="132">
        <v>42727</v>
      </c>
      <c r="X49" s="10">
        <v>78.790000000000006</v>
      </c>
      <c r="Y49" s="10">
        <v>79.3</v>
      </c>
      <c r="Z49" s="10">
        <v>78.69</v>
      </c>
      <c r="AA49" s="10">
        <v>79.14</v>
      </c>
      <c r="AB49" s="94">
        <v>2754200</v>
      </c>
      <c r="AC49" s="10">
        <v>78.66</v>
      </c>
      <c r="AD49" s="2"/>
      <c r="AE49" s="137">
        <f t="shared" si="1"/>
        <v>4.3411644535240601E-3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5"/>
        <v>81.204000000000008</v>
      </c>
      <c r="Q50" s="2"/>
      <c r="T50" s="92"/>
      <c r="U50" s="129"/>
      <c r="W50" s="132">
        <v>42726</v>
      </c>
      <c r="X50" s="10">
        <v>79.540000000000006</v>
      </c>
      <c r="Y50" s="10">
        <v>79.75</v>
      </c>
      <c r="Z50" s="10">
        <v>78.5</v>
      </c>
      <c r="AA50" s="10">
        <v>78.790000000000006</v>
      </c>
      <c r="AB50" s="94">
        <v>5850400</v>
      </c>
      <c r="AC50" s="10">
        <v>78.319999999999993</v>
      </c>
      <c r="AD50" s="2"/>
      <c r="AE50" s="137">
        <f t="shared" si="1"/>
        <v>-1.3229179790853141E-2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5"/>
        <v>80.400000000000006</v>
      </c>
      <c r="Q51" s="2"/>
      <c r="T51" s="92" t="s">
        <v>105</v>
      </c>
      <c r="U51" s="129" t="s">
        <v>624</v>
      </c>
      <c r="W51" s="132">
        <v>42725</v>
      </c>
      <c r="X51" s="10">
        <v>79.53</v>
      </c>
      <c r="Y51" s="10">
        <v>80.19</v>
      </c>
      <c r="Z51" s="10">
        <v>79.040000000000006</v>
      </c>
      <c r="AA51" s="10">
        <v>79.849999999999994</v>
      </c>
      <c r="AB51" s="94">
        <v>5808100</v>
      </c>
      <c r="AC51" s="10">
        <v>79.37</v>
      </c>
      <c r="AD51" s="2"/>
      <c r="AE51" s="137">
        <f t="shared" si="1"/>
        <v>1.2600806451623647E-4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5"/>
        <v>79.596000000000004</v>
      </c>
      <c r="Q52" s="2"/>
      <c r="T52" s="92" t="s">
        <v>106</v>
      </c>
      <c r="U52" s="129" t="s">
        <v>322</v>
      </c>
      <c r="W52" s="132">
        <v>42724</v>
      </c>
      <c r="X52" s="10">
        <v>79.98</v>
      </c>
      <c r="Y52" s="10">
        <v>81.239999999999995</v>
      </c>
      <c r="Z52" s="10">
        <v>79.67</v>
      </c>
      <c r="AA52" s="10">
        <v>79.84</v>
      </c>
      <c r="AB52" s="94">
        <v>6109100</v>
      </c>
      <c r="AC52" s="10">
        <v>79.36</v>
      </c>
      <c r="AD52" s="2"/>
      <c r="AE52" s="137">
        <f t="shared" si="1"/>
        <v>-1.1327879169289456E-3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5"/>
        <v>78.792000000000002</v>
      </c>
      <c r="Q53" s="2"/>
      <c r="T53" s="92" t="s">
        <v>107</v>
      </c>
      <c r="U53" s="130">
        <v>5701325</v>
      </c>
      <c r="W53" s="132">
        <v>42723</v>
      </c>
      <c r="X53" s="10">
        <v>79.28</v>
      </c>
      <c r="Y53" s="10">
        <v>80.22</v>
      </c>
      <c r="Z53" s="10">
        <v>79.27</v>
      </c>
      <c r="AA53" s="10">
        <v>79.930000000000007</v>
      </c>
      <c r="AB53" s="94">
        <v>6936100</v>
      </c>
      <c r="AC53" s="10">
        <v>79.45</v>
      </c>
      <c r="AD53" s="2"/>
      <c r="AE53" s="137">
        <f t="shared" si="1"/>
        <v>4.6788062721294654E-3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5"/>
        <v>77.988</v>
      </c>
      <c r="T54" s="92" t="s">
        <v>110</v>
      </c>
      <c r="U54" s="130">
        <v>7211030</v>
      </c>
      <c r="W54" s="132">
        <v>42720</v>
      </c>
      <c r="X54" s="10">
        <v>78.650000000000006</v>
      </c>
      <c r="Y54" s="10">
        <v>79.7</v>
      </c>
      <c r="Z54" s="10">
        <v>78.61</v>
      </c>
      <c r="AA54" s="10">
        <v>79.56</v>
      </c>
      <c r="AB54" s="94">
        <v>11546800</v>
      </c>
      <c r="AC54" s="10">
        <v>79.08</v>
      </c>
      <c r="AD54" s="2"/>
      <c r="AE54" s="137">
        <f t="shared" si="1"/>
        <v>1.6191210485736462E-2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5"/>
        <v>77.183999999999997</v>
      </c>
      <c r="T55" s="92" t="s">
        <v>108</v>
      </c>
      <c r="U55" s="129" t="s">
        <v>625</v>
      </c>
      <c r="W55" s="132">
        <v>42719</v>
      </c>
      <c r="X55" s="10">
        <v>78</v>
      </c>
      <c r="Y55" s="10">
        <v>79.239999999999995</v>
      </c>
      <c r="Z55" s="10">
        <v>76.11</v>
      </c>
      <c r="AA55" s="10">
        <v>78.290000000000006</v>
      </c>
      <c r="AB55" s="94">
        <v>10621500</v>
      </c>
      <c r="AC55" s="10">
        <v>77.819999999999993</v>
      </c>
      <c r="AD55" s="2"/>
      <c r="AE55" s="137">
        <f t="shared" si="1"/>
        <v>-8.5361192508599526E-3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5"/>
        <v>76.38</v>
      </c>
      <c r="T56" s="92" t="s">
        <v>111</v>
      </c>
      <c r="U56" s="129">
        <v>16.5</v>
      </c>
      <c r="W56" s="132">
        <v>42718</v>
      </c>
      <c r="X56" s="10">
        <v>80.3</v>
      </c>
      <c r="Y56" s="10">
        <v>81.13</v>
      </c>
      <c r="Z56" s="10">
        <v>78.52</v>
      </c>
      <c r="AA56" s="10">
        <v>78.959999999999994</v>
      </c>
      <c r="AB56" s="94">
        <v>7278800</v>
      </c>
      <c r="AC56" s="10">
        <v>78.489999999999995</v>
      </c>
      <c r="AD56" s="2"/>
      <c r="AE56" s="137">
        <f t="shared" si="1"/>
        <v>-1.4811095770051574E-2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5"/>
        <v>75.576000000000008</v>
      </c>
      <c r="T57" s="92" t="s">
        <v>112</v>
      </c>
      <c r="U57" s="129">
        <v>4.91</v>
      </c>
      <c r="W57" s="132">
        <v>42717</v>
      </c>
      <c r="X57" s="10">
        <v>79.709999999999994</v>
      </c>
      <c r="Y57" s="10">
        <v>80.31</v>
      </c>
      <c r="Z57" s="10">
        <v>78.73</v>
      </c>
      <c r="AA57" s="10">
        <v>80.150000000000006</v>
      </c>
      <c r="AB57" s="94">
        <v>8152500</v>
      </c>
      <c r="AC57" s="10">
        <v>79.67</v>
      </c>
      <c r="AD57" s="2"/>
      <c r="AE57" s="137">
        <f t="shared" si="1"/>
        <v>5.29968454258678E-3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5"/>
        <v>74.772000000000006</v>
      </c>
      <c r="T58" s="92" t="s">
        <v>109</v>
      </c>
      <c r="U58" s="129" t="s">
        <v>554</v>
      </c>
      <c r="W58" s="132">
        <v>42716</v>
      </c>
      <c r="X58" s="10">
        <v>79.459999999999994</v>
      </c>
      <c r="Y58" s="10">
        <v>80.53</v>
      </c>
      <c r="Z58" s="10">
        <v>79.260000000000005</v>
      </c>
      <c r="AA58" s="10">
        <v>79.73</v>
      </c>
      <c r="AB58" s="94">
        <v>6619800</v>
      </c>
      <c r="AC58" s="10">
        <v>79.25</v>
      </c>
      <c r="AD58" s="2"/>
      <c r="AE58" s="137">
        <f t="shared" si="1"/>
        <v>-5.0219711236660913E-3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5"/>
        <v>73.968000000000004</v>
      </c>
      <c r="W59" s="132">
        <v>42713</v>
      </c>
      <c r="X59" s="10">
        <v>78.88</v>
      </c>
      <c r="Y59" s="10">
        <v>80.540000000000006</v>
      </c>
      <c r="Z59" s="10">
        <v>78.739999999999995</v>
      </c>
      <c r="AA59" s="10">
        <v>80.13</v>
      </c>
      <c r="AB59" s="94">
        <v>6730100</v>
      </c>
      <c r="AC59" s="10">
        <v>79.650000000000006</v>
      </c>
      <c r="AD59" s="2"/>
      <c r="AE59" s="137">
        <f t="shared" si="1"/>
        <v>2.5888717156105079E-2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5"/>
        <v>73.164000000000001</v>
      </c>
      <c r="W60" s="132">
        <v>42712</v>
      </c>
      <c r="X60" s="10">
        <v>80.53</v>
      </c>
      <c r="Y60" s="10">
        <v>80.56</v>
      </c>
      <c r="Z60" s="10">
        <v>77.39</v>
      </c>
      <c r="AA60" s="10">
        <v>78.11</v>
      </c>
      <c r="AB60" s="94">
        <v>16110200</v>
      </c>
      <c r="AC60" s="10">
        <v>77.64</v>
      </c>
      <c r="AD60" s="2"/>
      <c r="AE60" s="137">
        <f t="shared" si="1"/>
        <v>-3.010618363522799E-2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5"/>
        <v>72.360000000000014</v>
      </c>
      <c r="W61" s="132">
        <v>42711</v>
      </c>
      <c r="X61" s="10">
        <v>79.239999999999995</v>
      </c>
      <c r="Y61" s="10">
        <v>80.61</v>
      </c>
      <c r="Z61" s="10">
        <v>78.489999999999995</v>
      </c>
      <c r="AA61" s="10">
        <v>80.53</v>
      </c>
      <c r="AB61" s="94">
        <v>10532900</v>
      </c>
      <c r="AC61" s="10">
        <v>80.05</v>
      </c>
      <c r="AD61" s="2"/>
      <c r="AE61" s="137">
        <f t="shared" si="1"/>
        <v>1.4061312389156422E-2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42710</v>
      </c>
      <c r="X62" s="10">
        <v>78.599999999999994</v>
      </c>
      <c r="Y62" s="10">
        <v>79.78</v>
      </c>
      <c r="Z62" s="10">
        <v>78.260000000000005</v>
      </c>
      <c r="AA62" s="10">
        <v>79.42</v>
      </c>
      <c r="AB62" s="94">
        <v>9800700</v>
      </c>
      <c r="AC62" s="10">
        <v>78.94</v>
      </c>
      <c r="AD62" s="2"/>
      <c r="AE62" s="137">
        <f t="shared" si="1"/>
        <v>1.8317853457172406E-2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42709</v>
      </c>
      <c r="X63" s="10">
        <v>77.569999999999993</v>
      </c>
      <c r="Y63" s="10">
        <v>78.28</v>
      </c>
      <c r="Z63" s="10">
        <v>76.88</v>
      </c>
      <c r="AA63" s="10">
        <v>77.989999999999995</v>
      </c>
      <c r="AB63" s="94">
        <v>9173900</v>
      </c>
      <c r="AC63" s="10">
        <v>77.52</v>
      </c>
      <c r="AD63" s="2"/>
      <c r="AE63" s="137">
        <f t="shared" si="1"/>
        <v>4.7958522359039524E-3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42706</v>
      </c>
      <c r="X64" s="10">
        <v>77.13</v>
      </c>
      <c r="Y64" s="10">
        <v>78.31</v>
      </c>
      <c r="Z64" s="10">
        <v>76.349999999999994</v>
      </c>
      <c r="AA64" s="10">
        <v>77.62</v>
      </c>
      <c r="AB64" s="94">
        <v>11911300</v>
      </c>
      <c r="AC64" s="10">
        <v>77.150000000000006</v>
      </c>
      <c r="AD64" s="2"/>
      <c r="AE64" s="137">
        <f t="shared" si="1"/>
        <v>1.1140235910878316E-2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42705</v>
      </c>
      <c r="X65" s="10">
        <v>76.62</v>
      </c>
      <c r="Y65" s="10">
        <v>77.13</v>
      </c>
      <c r="Z65" s="10">
        <v>76.290000000000006</v>
      </c>
      <c r="AA65" s="10">
        <v>76.760000000000005</v>
      </c>
      <c r="AB65" s="94">
        <v>7316300</v>
      </c>
      <c r="AC65" s="10">
        <v>76.3</v>
      </c>
      <c r="AD65" s="2"/>
      <c r="AE65" s="137">
        <f t="shared" si="1"/>
        <v>-1.700902786863967E-3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>
        <v>42704</v>
      </c>
      <c r="X66" s="10">
        <v>76.19</v>
      </c>
      <c r="Y66" s="10">
        <v>77.37</v>
      </c>
      <c r="Z66" s="10">
        <v>75.92</v>
      </c>
      <c r="AA66" s="10">
        <v>76.89</v>
      </c>
      <c r="AB66" s="94">
        <v>12781800</v>
      </c>
      <c r="AC66" s="10">
        <v>76.430000000000007</v>
      </c>
      <c r="AD66" s="2"/>
      <c r="AE66" s="137">
        <f t="shared" si="1"/>
        <v>1.3391673296208051E-2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>
        <v>42703</v>
      </c>
      <c r="X67" s="10">
        <v>75.89</v>
      </c>
      <c r="Y67" s="10">
        <v>76.069999999999993</v>
      </c>
      <c r="Z67" s="10">
        <v>75</v>
      </c>
      <c r="AA67" s="10">
        <v>75.88</v>
      </c>
      <c r="AB67" s="94">
        <v>8649600</v>
      </c>
      <c r="AC67" s="10">
        <v>75.42</v>
      </c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>
        <v>42702</v>
      </c>
      <c r="X68" s="10">
        <v>73.73</v>
      </c>
      <c r="Y68" s="10">
        <v>75</v>
      </c>
      <c r="Z68" s="10">
        <v>73.66</v>
      </c>
      <c r="AA68" s="10">
        <v>74.78</v>
      </c>
      <c r="AB68" s="94">
        <v>8625100</v>
      </c>
      <c r="AC68" s="10">
        <v>74.33</v>
      </c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 t="s">
        <v>121</v>
      </c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949" priority="9">
      <formula>F57&gt;0</formula>
    </cfRule>
    <cfRule type="expression" dxfId="948" priority="10">
      <formula>F57&lt;0</formula>
    </cfRule>
  </conditionalFormatting>
  <conditionalFormatting sqref="Q7">
    <cfRule type="expression" dxfId="947" priority="7">
      <formula>Q7&gt;0</formula>
    </cfRule>
    <cfRule type="expression" dxfId="946" priority="8">
      <formula>Q7&lt;0</formula>
    </cfRule>
  </conditionalFormatting>
  <conditionalFormatting sqref="Q8">
    <cfRule type="expression" dxfId="945" priority="5">
      <formula>Q8&gt;0</formula>
    </cfRule>
    <cfRule type="expression" dxfId="944" priority="6">
      <formula>Q8&lt;0</formula>
    </cfRule>
  </conditionalFormatting>
  <conditionalFormatting sqref="F25:F56">
    <cfRule type="expression" dxfId="943" priority="3">
      <formula>F25&gt;0</formula>
    </cfRule>
    <cfRule type="expression" dxfId="942" priority="4">
      <formula>F25&lt;0</formula>
    </cfRule>
  </conditionalFormatting>
  <conditionalFormatting sqref="H25:H56">
    <cfRule type="expression" dxfId="941" priority="1">
      <formula>H25&gt;0</formula>
    </cfRule>
    <cfRule type="expression" dxfId="94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8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127</v>
      </c>
    </row>
    <row r="2" spans="1:41" x14ac:dyDescent="0.25">
      <c r="A2" s="6" t="s">
        <v>50</v>
      </c>
      <c r="B2" s="500">
        <v>42761</v>
      </c>
      <c r="C2" s="4">
        <v>500</v>
      </c>
      <c r="D2" s="239">
        <v>17.79</v>
      </c>
      <c r="E2" s="3">
        <v>0</v>
      </c>
      <c r="F2" s="3">
        <f t="shared" ref="F2:F23" si="0">C2*D2+E2</f>
        <v>8895</v>
      </c>
      <c r="G2" s="500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/>
      <c r="M2" s="3"/>
      <c r="O2" s="11" t="s">
        <v>57</v>
      </c>
      <c r="Q2">
        <f>C31-H31</f>
        <v>6000</v>
      </c>
      <c r="T2" s="42" t="s">
        <v>536</v>
      </c>
      <c r="U2" s="34" t="str">
        <f>YahooFinance("MRO", "50movingaverage")</f>
        <v xml:space="preserve">16.48
</v>
      </c>
      <c r="W2" s="132">
        <v>42797</v>
      </c>
      <c r="X2" s="10">
        <v>16.18</v>
      </c>
      <c r="Y2" s="10">
        <v>16.5</v>
      </c>
      <c r="Z2" s="10">
        <v>16.12</v>
      </c>
      <c r="AA2" s="10">
        <v>16.18</v>
      </c>
      <c r="AB2" s="94">
        <v>6963100</v>
      </c>
      <c r="AC2" s="10">
        <v>16.18</v>
      </c>
      <c r="AE2" s="137">
        <f t="shared" ref="AE2:AE14" si="1">AC2/AC3-1</f>
        <v>2.4783147459725985E-3</v>
      </c>
    </row>
    <row r="3" spans="1:41" x14ac:dyDescent="0.25">
      <c r="A3" s="23" t="s">
        <v>71</v>
      </c>
      <c r="B3" s="500">
        <v>42761</v>
      </c>
      <c r="C3" s="4">
        <v>500</v>
      </c>
      <c r="D3" s="239">
        <v>17.78</v>
      </c>
      <c r="E3" s="3">
        <v>-2.5</v>
      </c>
      <c r="F3" s="3">
        <f t="shared" si="0"/>
        <v>8887.5</v>
      </c>
      <c r="G3" s="500">
        <v>42803</v>
      </c>
      <c r="H3" s="81">
        <v>200</v>
      </c>
      <c r="I3" s="78">
        <v>15.6</v>
      </c>
      <c r="J3" s="44">
        <v>7.0000000000000007E-2</v>
      </c>
      <c r="K3" s="44">
        <f t="shared" ref="K3:K4" si="2">H3*I3-J3</f>
        <v>3119.93</v>
      </c>
      <c r="L3" s="73"/>
      <c r="M3" s="3"/>
      <c r="O3" s="11" t="s">
        <v>58</v>
      </c>
      <c r="Q3" s="507">
        <f>IF(Q2=0, Q4, (F31-K31-M31)/Q2)</f>
        <v>16.502636666666664</v>
      </c>
      <c r="T3" s="42" t="s">
        <v>537</v>
      </c>
      <c r="U3" s="34" t="str">
        <f>YahooFinance("MRO", "200daymovingaverage")</f>
        <v xml:space="preserve">16.11
</v>
      </c>
      <c r="W3" s="132">
        <v>42796</v>
      </c>
      <c r="X3" s="10">
        <v>16.25</v>
      </c>
      <c r="Y3" s="10">
        <v>16.48</v>
      </c>
      <c r="Z3" s="10">
        <v>16.09</v>
      </c>
      <c r="AA3" s="10">
        <v>16.14</v>
      </c>
      <c r="AB3" s="94">
        <v>11303300</v>
      </c>
      <c r="AC3" s="10">
        <v>16.14</v>
      </c>
      <c r="AE3" s="137">
        <f t="shared" si="1"/>
        <v>-1.8844984802431575E-2</v>
      </c>
      <c r="AL3" s="233"/>
      <c r="AO3" s="233"/>
    </row>
    <row r="4" spans="1:41" ht="15" customHeight="1" x14ac:dyDescent="0.25">
      <c r="B4" s="500">
        <v>42762</v>
      </c>
      <c r="C4" s="4">
        <v>100</v>
      </c>
      <c r="D4" s="239">
        <v>17.28</v>
      </c>
      <c r="E4" s="3">
        <v>0</v>
      </c>
      <c r="F4" s="3">
        <f t="shared" si="0"/>
        <v>1728</v>
      </c>
      <c r="G4" s="500">
        <v>42803</v>
      </c>
      <c r="H4" s="81">
        <v>500</v>
      </c>
      <c r="I4" s="78">
        <v>15.85</v>
      </c>
      <c r="J4" s="44">
        <v>0.17</v>
      </c>
      <c r="K4" s="44">
        <f t="shared" si="2"/>
        <v>7924.83</v>
      </c>
      <c r="L4" s="4"/>
      <c r="M4" s="3"/>
      <c r="O4" s="11" t="s">
        <v>66</v>
      </c>
      <c r="Q4" s="55">
        <v>16.16</v>
      </c>
      <c r="R4" s="499">
        <v>5.5999999999999999E-3</v>
      </c>
      <c r="W4" s="132">
        <v>42795</v>
      </c>
      <c r="X4" s="10">
        <v>16.16</v>
      </c>
      <c r="Y4" s="10">
        <v>16.649999999999999</v>
      </c>
      <c r="Z4" s="10">
        <v>16.100000000000001</v>
      </c>
      <c r="AA4" s="10">
        <v>16.45</v>
      </c>
      <c r="AB4" s="94">
        <v>12907800</v>
      </c>
      <c r="AC4" s="10">
        <v>16.45</v>
      </c>
      <c r="AE4" s="137">
        <f t="shared" si="1"/>
        <v>2.8124999999999956E-2</v>
      </c>
      <c r="AJ4" s="234"/>
      <c r="AL4" s="233"/>
      <c r="AO4" s="233"/>
    </row>
    <row r="5" spans="1:41" x14ac:dyDescent="0.25">
      <c r="B5" s="500">
        <v>42765</v>
      </c>
      <c r="C5" s="4">
        <v>100</v>
      </c>
      <c r="D5" s="239">
        <v>16.8</v>
      </c>
      <c r="E5" s="3">
        <v>0</v>
      </c>
      <c r="F5" s="3">
        <f t="shared" si="0"/>
        <v>1680</v>
      </c>
      <c r="G5" s="30"/>
      <c r="O5" s="11" t="s">
        <v>67</v>
      </c>
      <c r="Q5" s="3">
        <f>Q4*Q2</f>
        <v>96960</v>
      </c>
      <c r="T5" s="67"/>
      <c r="W5" s="132">
        <v>42794</v>
      </c>
      <c r="X5" s="10">
        <v>15.68</v>
      </c>
      <c r="Y5" s="10">
        <v>16.12</v>
      </c>
      <c r="Z5" s="10">
        <v>15.67</v>
      </c>
      <c r="AA5" s="10">
        <v>16</v>
      </c>
      <c r="AB5" s="94">
        <v>13359800</v>
      </c>
      <c r="AC5" s="10">
        <v>16</v>
      </c>
      <c r="AE5" s="137">
        <f t="shared" si="1"/>
        <v>9.4637223974762819E-3</v>
      </c>
    </row>
    <row r="6" spans="1:41" x14ac:dyDescent="0.25">
      <c r="B6" s="501">
        <v>42765</v>
      </c>
      <c r="C6" s="4">
        <v>500</v>
      </c>
      <c r="D6" s="239">
        <v>16.649999999999999</v>
      </c>
      <c r="E6" s="3">
        <v>0</v>
      </c>
      <c r="F6" s="3">
        <f t="shared" si="0"/>
        <v>8325</v>
      </c>
      <c r="G6" s="30"/>
      <c r="O6" s="11" t="s">
        <v>64</v>
      </c>
      <c r="Q6" s="2">
        <f>Q3*Q2</f>
        <v>99015.819999999978</v>
      </c>
      <c r="W6" s="132">
        <v>42793</v>
      </c>
      <c r="X6" s="10">
        <v>15.9</v>
      </c>
      <c r="Y6" s="10">
        <v>15.98</v>
      </c>
      <c r="Z6" s="10">
        <v>15.66</v>
      </c>
      <c r="AA6" s="10">
        <v>15.85</v>
      </c>
      <c r="AB6" s="94">
        <v>11127800</v>
      </c>
      <c r="AC6" s="10">
        <v>15.85</v>
      </c>
      <c r="AE6" s="137">
        <f t="shared" si="1"/>
        <v>7.6287349014620975E-3</v>
      </c>
    </row>
    <row r="7" spans="1:41" x14ac:dyDescent="0.25">
      <c r="B7" s="501">
        <v>42765</v>
      </c>
      <c r="C7" s="4">
        <v>200</v>
      </c>
      <c r="D7" s="239">
        <v>16.48</v>
      </c>
      <c r="E7" s="3">
        <v>0</v>
      </c>
      <c r="F7" s="3">
        <f t="shared" si="0"/>
        <v>3296</v>
      </c>
      <c r="G7" s="30"/>
      <c r="O7" s="11" t="s">
        <v>181</v>
      </c>
      <c r="Q7" s="2">
        <f>Q10+Q8</f>
        <v>12559.751000001634</v>
      </c>
      <c r="R7">
        <v>4200</v>
      </c>
      <c r="U7" s="183"/>
      <c r="W7" s="132">
        <v>42790</v>
      </c>
      <c r="X7" s="10">
        <v>15.69</v>
      </c>
      <c r="Y7" s="10">
        <v>15.99</v>
      </c>
      <c r="Z7" s="10">
        <v>15.59</v>
      </c>
      <c r="AA7" s="10">
        <v>15.73</v>
      </c>
      <c r="AB7" s="94">
        <v>12086500</v>
      </c>
      <c r="AC7" s="10">
        <v>15.73</v>
      </c>
      <c r="AE7" s="137">
        <f t="shared" si="1"/>
        <v>-1.5644555694618312E-2</v>
      </c>
    </row>
    <row r="8" spans="1:41" x14ac:dyDescent="0.25">
      <c r="A8" s="653"/>
      <c r="B8" s="501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30"/>
      <c r="O8" s="11" t="s">
        <v>183</v>
      </c>
      <c r="P8" s="34"/>
      <c r="Q8" s="2">
        <f>K31+M31-F31+Q2*Q4</f>
        <v>-2055.8199999999924</v>
      </c>
      <c r="W8" s="132">
        <v>42789</v>
      </c>
      <c r="X8" s="10">
        <v>16.25</v>
      </c>
      <c r="Y8" s="10">
        <v>16.25</v>
      </c>
      <c r="Z8" s="10">
        <v>15.7</v>
      </c>
      <c r="AA8" s="10">
        <v>15.98</v>
      </c>
      <c r="AB8" s="94">
        <v>16327900</v>
      </c>
      <c r="AC8" s="10">
        <v>15.98</v>
      </c>
      <c r="AE8" s="137">
        <f t="shared" si="1"/>
        <v>1.3959390862944288E-2</v>
      </c>
    </row>
    <row r="9" spans="1:41" x14ac:dyDescent="0.25">
      <c r="A9" s="653"/>
      <c r="B9" s="501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30"/>
      <c r="O9" s="11" t="s">
        <v>213</v>
      </c>
      <c r="Q9" s="137">
        <f>IF(Q2=0, 0, Q8/Q6)</f>
        <v>-2.0762540773787391E-2</v>
      </c>
      <c r="W9" s="132">
        <v>42788</v>
      </c>
      <c r="X9" s="10">
        <v>16.2</v>
      </c>
      <c r="Y9" s="10">
        <v>16.260000000000002</v>
      </c>
      <c r="Z9" s="10">
        <v>15.73</v>
      </c>
      <c r="AA9" s="10">
        <v>15.76</v>
      </c>
      <c r="AB9" s="94">
        <v>14447000</v>
      </c>
      <c r="AC9" s="10">
        <v>15.76</v>
      </c>
      <c r="AE9" s="137">
        <f t="shared" si="1"/>
        <v>-3.7851037851037828E-2</v>
      </c>
    </row>
    <row r="10" spans="1:41" ht="15" customHeight="1" x14ac:dyDescent="0.25">
      <c r="A10" s="653"/>
      <c r="B10" s="501">
        <v>42767</v>
      </c>
      <c r="C10" s="7">
        <v>500</v>
      </c>
      <c r="D10" s="78">
        <v>16.559999999999999</v>
      </c>
      <c r="E10" s="44">
        <v>-0.5</v>
      </c>
      <c r="F10" s="44">
        <f t="shared" si="0"/>
        <v>8279.5</v>
      </c>
      <c r="G10" s="30"/>
      <c r="O10" s="11" t="s">
        <v>212</v>
      </c>
      <c r="P10" s="34"/>
      <c r="Q10" s="2">
        <f>M316</f>
        <v>14615.571000001626</v>
      </c>
      <c r="W10" s="132">
        <v>42787</v>
      </c>
      <c r="X10" s="10">
        <v>16.420000000000002</v>
      </c>
      <c r="Y10" s="10">
        <v>16.64</v>
      </c>
      <c r="Z10" s="10">
        <v>16.32</v>
      </c>
      <c r="AA10" s="10">
        <v>16.38</v>
      </c>
      <c r="AB10" s="94">
        <v>13186100</v>
      </c>
      <c r="AC10" s="10">
        <v>16.38</v>
      </c>
      <c r="AE10" s="137">
        <f t="shared" si="1"/>
        <v>9.2421441774490631E-3</v>
      </c>
    </row>
    <row r="11" spans="1:41" x14ac:dyDescent="0.25">
      <c r="A11" s="653"/>
      <c r="B11" s="501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178</v>
      </c>
      <c r="P11" s="34"/>
      <c r="Q11" s="137">
        <f>VALUE(TRIM(CLEAN(MID(U58, FIND("(", U58)+1, 5))))</f>
        <v>1.24E-2</v>
      </c>
      <c r="W11" s="132">
        <v>42783</v>
      </c>
      <c r="X11" s="10">
        <v>16.05</v>
      </c>
      <c r="Y11" s="10">
        <v>16.260000000000002</v>
      </c>
      <c r="Z11" s="10">
        <v>15.93</v>
      </c>
      <c r="AA11" s="10">
        <v>16.23</v>
      </c>
      <c r="AB11" s="94">
        <v>13785700</v>
      </c>
      <c r="AC11" s="10">
        <v>16.23</v>
      </c>
      <c r="AE11" s="137">
        <f t="shared" si="1"/>
        <v>3.7105751391464104E-3</v>
      </c>
    </row>
    <row r="12" spans="1:41" x14ac:dyDescent="0.25">
      <c r="A12" s="653"/>
      <c r="B12" s="501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  <c r="W12" s="132">
        <v>42782</v>
      </c>
      <c r="X12" s="10">
        <v>16.600000000000001</v>
      </c>
      <c r="Y12" s="10">
        <v>17.05</v>
      </c>
      <c r="Z12" s="10">
        <v>16.13</v>
      </c>
      <c r="AA12" s="10">
        <v>16.170000000000002</v>
      </c>
      <c r="AB12" s="94">
        <v>23847500</v>
      </c>
      <c r="AC12" s="10">
        <v>16.170000000000002</v>
      </c>
      <c r="AE12" s="137">
        <f t="shared" si="1"/>
        <v>-7.9754601226993405E-3</v>
      </c>
    </row>
    <row r="13" spans="1:41" x14ac:dyDescent="0.25">
      <c r="A13" s="653"/>
      <c r="B13" s="501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  <c r="W13" s="132">
        <v>42781</v>
      </c>
      <c r="X13" s="10">
        <v>16.39</v>
      </c>
      <c r="Y13" s="10">
        <v>16.57</v>
      </c>
      <c r="Z13" s="10">
        <v>16.190000000000001</v>
      </c>
      <c r="AA13" s="10">
        <v>16.3</v>
      </c>
      <c r="AB13" s="94">
        <v>13152600</v>
      </c>
      <c r="AC13" s="10">
        <v>16.3</v>
      </c>
      <c r="AE13" s="137">
        <f t="shared" si="1"/>
        <v>-6.7032297379646666E-3</v>
      </c>
    </row>
    <row r="14" spans="1:41" x14ac:dyDescent="0.25">
      <c r="A14" s="653"/>
      <c r="B14" s="501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  <c r="W14" s="132">
        <v>42780</v>
      </c>
      <c r="X14" s="10">
        <v>16.16</v>
      </c>
      <c r="Y14" s="10">
        <v>16.43</v>
      </c>
      <c r="Z14" s="10">
        <v>15.97</v>
      </c>
      <c r="AA14" s="10">
        <v>16.41</v>
      </c>
      <c r="AB14" s="94">
        <v>11078300</v>
      </c>
      <c r="AC14" s="10">
        <v>16.41</v>
      </c>
      <c r="AE14" s="137">
        <f t="shared" si="1"/>
        <v>2.1793275217932839E-2</v>
      </c>
    </row>
    <row r="15" spans="1:41" x14ac:dyDescent="0.25">
      <c r="B15" s="501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  <c r="W15" s="132">
        <v>42779</v>
      </c>
      <c r="X15" s="10">
        <v>16.079999999999998</v>
      </c>
      <c r="Y15" s="10">
        <v>16.14</v>
      </c>
      <c r="Z15" s="10">
        <v>15.79</v>
      </c>
      <c r="AA15" s="10">
        <v>16.059999999999999</v>
      </c>
      <c r="AB15" s="94">
        <v>14778800</v>
      </c>
      <c r="AC15" s="10">
        <v>16.059999999999999</v>
      </c>
      <c r="AE15" s="137" t="e">
        <f>AC15/AC16-1</f>
        <v>#DIV/0!</v>
      </c>
    </row>
    <row r="16" spans="1:41" x14ac:dyDescent="0.25">
      <c r="B16" s="501">
        <v>42772</v>
      </c>
      <c r="C16" s="4">
        <v>300</v>
      </c>
      <c r="D16" s="239">
        <v>16.48</v>
      </c>
      <c r="E16" s="3">
        <v>0</v>
      </c>
      <c r="F16" s="3">
        <f t="shared" si="0"/>
        <v>4944</v>
      </c>
      <c r="G16" s="30"/>
      <c r="W16" s="132">
        <v>42779</v>
      </c>
      <c r="X16" s="10" t="s">
        <v>399</v>
      </c>
      <c r="Y16" s="10"/>
      <c r="Z16" s="10"/>
      <c r="AA16" s="10"/>
      <c r="AB16" s="94"/>
      <c r="AC16" s="10"/>
      <c r="AE16" s="137">
        <f t="shared" ref="AE16:AE66" si="3">AC16/AC17-1</f>
        <v>-1</v>
      </c>
    </row>
    <row r="17" spans="1:31" x14ac:dyDescent="0.25">
      <c r="B17" s="501">
        <v>42773</v>
      </c>
      <c r="C17" s="4">
        <v>300</v>
      </c>
      <c r="D17" s="239">
        <v>16.079999999999998</v>
      </c>
      <c r="E17" s="3">
        <v>0</v>
      </c>
      <c r="F17" s="3">
        <f t="shared" si="0"/>
        <v>4823.9999999999991</v>
      </c>
      <c r="G17" s="30"/>
      <c r="W17" s="132">
        <v>42776</v>
      </c>
      <c r="X17" s="10">
        <v>16.38</v>
      </c>
      <c r="Y17" s="10">
        <v>16.399999999999999</v>
      </c>
      <c r="Z17" s="10">
        <v>16.05</v>
      </c>
      <c r="AA17" s="10">
        <v>16.190000000000001</v>
      </c>
      <c r="AB17" s="94">
        <v>11992600</v>
      </c>
      <c r="AC17" s="10">
        <v>16.14</v>
      </c>
      <c r="AE17" s="137">
        <f t="shared" si="3"/>
        <v>8.7500000000000355E-3</v>
      </c>
    </row>
    <row r="18" spans="1:31" x14ac:dyDescent="0.25">
      <c r="B18" s="501">
        <v>42773</v>
      </c>
      <c r="C18" s="4">
        <v>300</v>
      </c>
      <c r="D18" s="239">
        <v>15.85</v>
      </c>
      <c r="E18" s="3">
        <v>0</v>
      </c>
      <c r="F18" s="3">
        <f t="shared" si="0"/>
        <v>4755</v>
      </c>
      <c r="G18" s="30"/>
      <c r="Q18" s="2"/>
      <c r="W18" s="132">
        <v>42775</v>
      </c>
      <c r="X18" s="10">
        <v>15.88</v>
      </c>
      <c r="Y18" s="10">
        <v>16.23</v>
      </c>
      <c r="Z18" s="10">
        <v>15.88</v>
      </c>
      <c r="AA18" s="10">
        <v>16.05</v>
      </c>
      <c r="AB18" s="94">
        <v>8911600</v>
      </c>
      <c r="AC18" s="10">
        <v>16</v>
      </c>
      <c r="AE18" s="137">
        <f t="shared" si="3"/>
        <v>1.073910296904601E-2</v>
      </c>
    </row>
    <row r="19" spans="1:31" x14ac:dyDescent="0.25">
      <c r="B19" s="502">
        <v>42782</v>
      </c>
      <c r="C19" s="4">
        <v>300</v>
      </c>
      <c r="D19" s="239">
        <v>16.28</v>
      </c>
      <c r="E19" s="3">
        <v>0</v>
      </c>
      <c r="F19" s="3">
        <f t="shared" si="0"/>
        <v>4884</v>
      </c>
      <c r="G19" s="30"/>
      <c r="Q19" s="2"/>
      <c r="W19" s="132">
        <v>42774</v>
      </c>
      <c r="X19" s="10">
        <v>15.86</v>
      </c>
      <c r="Y19" s="10">
        <v>16.239999999999998</v>
      </c>
      <c r="Z19" s="10">
        <v>15.63</v>
      </c>
      <c r="AA19" s="10">
        <v>15.88</v>
      </c>
      <c r="AB19" s="94">
        <v>13282300</v>
      </c>
      <c r="AC19" s="10">
        <v>15.83</v>
      </c>
      <c r="AE19" s="137">
        <f t="shared" si="3"/>
        <v>-9.386733416770987E-3</v>
      </c>
    </row>
    <row r="20" spans="1:31" x14ac:dyDescent="0.25">
      <c r="B20" s="502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  <c r="W20" s="132">
        <v>42773</v>
      </c>
      <c r="X20" s="10">
        <v>16.39</v>
      </c>
      <c r="Y20" s="10">
        <v>16.43</v>
      </c>
      <c r="Z20" s="10">
        <v>15.75</v>
      </c>
      <c r="AA20" s="10">
        <v>16.03</v>
      </c>
      <c r="AB20" s="94">
        <v>14647800</v>
      </c>
      <c r="AC20" s="10">
        <v>15.98</v>
      </c>
      <c r="AE20" s="137">
        <f t="shared" si="3"/>
        <v>-2.9751062537947681E-2</v>
      </c>
    </row>
    <row r="21" spans="1:31" x14ac:dyDescent="0.25">
      <c r="B21" s="502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  <c r="W21" s="132">
        <v>42772</v>
      </c>
      <c r="X21" s="10">
        <v>17.25</v>
      </c>
      <c r="Y21" s="10">
        <v>17.25</v>
      </c>
      <c r="Z21" s="10">
        <v>16.46</v>
      </c>
      <c r="AA21" s="10">
        <v>16.52</v>
      </c>
      <c r="AB21" s="94">
        <v>9566000</v>
      </c>
      <c r="AC21" s="10">
        <v>16.47</v>
      </c>
      <c r="AE21" s="137">
        <f t="shared" si="3"/>
        <v>-4.1327124563445894E-2</v>
      </c>
    </row>
    <row r="22" spans="1:31" x14ac:dyDescent="0.25">
      <c r="B22" s="502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  <c r="W22" s="132">
        <v>42769</v>
      </c>
      <c r="X22" s="10">
        <v>16.7</v>
      </c>
      <c r="Y22" s="10">
        <v>17.36</v>
      </c>
      <c r="Z22" s="10">
        <v>16.66</v>
      </c>
      <c r="AA22" s="10">
        <v>17.23</v>
      </c>
      <c r="AB22" s="94">
        <v>12758600</v>
      </c>
      <c r="AC22" s="10">
        <v>17.18</v>
      </c>
      <c r="AE22" s="137">
        <f t="shared" si="3"/>
        <v>3.3072760072158758E-2</v>
      </c>
    </row>
    <row r="23" spans="1:31" x14ac:dyDescent="0.25">
      <c r="B23" s="502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  <c r="W23" s="132">
        <v>42768</v>
      </c>
      <c r="X23" s="10">
        <v>16.64</v>
      </c>
      <c r="Y23" s="10">
        <v>16.77</v>
      </c>
      <c r="Z23" s="10">
        <v>16.29</v>
      </c>
      <c r="AA23" s="10">
        <v>16.68</v>
      </c>
      <c r="AB23" s="94">
        <v>9235800</v>
      </c>
      <c r="AC23" s="10">
        <v>16.63</v>
      </c>
      <c r="AE23" s="137">
        <f t="shared" si="3"/>
        <v>5.4413542926239344E-3</v>
      </c>
    </row>
    <row r="24" spans="1:31" x14ac:dyDescent="0.25">
      <c r="G24" s="30"/>
      <c r="Q24" s="2"/>
      <c r="W24" s="132">
        <v>42767</v>
      </c>
      <c r="X24" s="10">
        <v>17.03</v>
      </c>
      <c r="Y24" s="10">
        <v>17.12</v>
      </c>
      <c r="Z24" s="10">
        <v>16.23</v>
      </c>
      <c r="AA24" s="10">
        <v>16.59</v>
      </c>
      <c r="AB24" s="94">
        <v>11449100</v>
      </c>
      <c r="AC24" s="10">
        <v>16.54</v>
      </c>
      <c r="AE24" s="137">
        <f t="shared" si="3"/>
        <v>-9.5808383233533245E-3</v>
      </c>
    </row>
    <row r="25" spans="1:31" x14ac:dyDescent="0.25">
      <c r="G25" s="30"/>
      <c r="Q25" s="2"/>
      <c r="T25" s="118"/>
      <c r="W25" s="132">
        <v>42766</v>
      </c>
      <c r="X25" s="10">
        <v>16.55</v>
      </c>
      <c r="Y25" s="10">
        <v>16.75</v>
      </c>
      <c r="Z25" s="10">
        <v>16.28</v>
      </c>
      <c r="AA25" s="10">
        <v>16.75</v>
      </c>
      <c r="AB25" s="94">
        <v>10892700</v>
      </c>
      <c r="AC25" s="10">
        <v>16.7</v>
      </c>
      <c r="AE25" s="137">
        <f t="shared" si="3"/>
        <v>1.3349514563106624E-2</v>
      </c>
    </row>
    <row r="26" spans="1:31" ht="15" customHeight="1" x14ac:dyDescent="0.25">
      <c r="C26" s="4"/>
      <c r="G26" s="30"/>
      <c r="Q26" s="2"/>
      <c r="W26" s="132">
        <v>42765</v>
      </c>
      <c r="X26" s="10">
        <v>17.27</v>
      </c>
      <c r="Y26" s="10">
        <v>17.34</v>
      </c>
      <c r="Z26" s="10">
        <v>16.36</v>
      </c>
      <c r="AA26" s="10">
        <v>16.53</v>
      </c>
      <c r="AB26" s="94">
        <v>13623400</v>
      </c>
      <c r="AC26" s="10">
        <v>16.48</v>
      </c>
      <c r="AE26" s="137">
        <f t="shared" si="3"/>
        <v>-5.0691244239631228E-2</v>
      </c>
    </row>
    <row r="27" spans="1:31" ht="15" customHeight="1" x14ac:dyDescent="0.25">
      <c r="G27" s="30"/>
      <c r="Q27" s="2"/>
      <c r="W27" s="132">
        <v>42762</v>
      </c>
      <c r="X27" s="10">
        <v>17.68</v>
      </c>
      <c r="Y27" s="10">
        <v>17.7</v>
      </c>
      <c r="Z27" s="10">
        <v>17.28</v>
      </c>
      <c r="AA27" s="10">
        <v>17.41</v>
      </c>
      <c r="AB27" s="94">
        <v>6444500</v>
      </c>
      <c r="AC27" s="10">
        <v>17.36</v>
      </c>
      <c r="AE27" s="137">
        <f t="shared" si="3"/>
        <v>-1.9209039548022555E-2</v>
      </c>
    </row>
    <row r="28" spans="1:31" x14ac:dyDescent="0.25">
      <c r="G28" s="30"/>
      <c r="Q28" s="2"/>
      <c r="W28" s="132">
        <v>42761</v>
      </c>
      <c r="X28" s="10">
        <v>17.8</v>
      </c>
      <c r="Y28" s="10">
        <v>17.93</v>
      </c>
      <c r="Z28" s="10">
        <v>17.64</v>
      </c>
      <c r="AA28" s="10">
        <v>17.75</v>
      </c>
      <c r="AB28" s="94">
        <v>6978400</v>
      </c>
      <c r="AC28" s="10">
        <v>17.7</v>
      </c>
      <c r="AE28" s="137">
        <f t="shared" si="3"/>
        <v>0</v>
      </c>
    </row>
    <row r="29" spans="1:31" x14ac:dyDescent="0.25">
      <c r="G29" s="30"/>
      <c r="Q29" s="2"/>
      <c r="W29" s="132">
        <v>42760</v>
      </c>
      <c r="X29" s="10">
        <v>17.690000000000001</v>
      </c>
      <c r="Y29" s="10">
        <v>17.88</v>
      </c>
      <c r="Z29" s="10">
        <v>17.670000000000002</v>
      </c>
      <c r="AA29" s="10">
        <v>17.75</v>
      </c>
      <c r="AB29" s="94">
        <v>8053500</v>
      </c>
      <c r="AC29" s="10">
        <v>17.7</v>
      </c>
      <c r="AE29" s="137">
        <f t="shared" si="3"/>
        <v>2.8328611898016387E-3</v>
      </c>
    </row>
    <row r="30" spans="1:31" x14ac:dyDescent="0.25">
      <c r="G30" s="30"/>
      <c r="Q30" s="2"/>
      <c r="W30" s="132">
        <v>42759</v>
      </c>
      <c r="X30" s="10">
        <v>17.55</v>
      </c>
      <c r="Y30" s="10">
        <v>17.91</v>
      </c>
      <c r="Z30" s="10">
        <v>17.5</v>
      </c>
      <c r="AA30" s="10">
        <v>17.7</v>
      </c>
      <c r="AB30" s="94">
        <v>8316000</v>
      </c>
      <c r="AC30" s="10">
        <v>17.649999999999999</v>
      </c>
      <c r="AE30" s="137">
        <f t="shared" si="3"/>
        <v>1.6119746689694736E-2</v>
      </c>
    </row>
    <row r="31" spans="1:31" x14ac:dyDescent="0.25">
      <c r="A31" s="32" t="s">
        <v>81</v>
      </c>
      <c r="B31" s="503"/>
      <c r="C31" s="72">
        <f>SUM(C2:C30)</f>
        <v>7200</v>
      </c>
      <c r="D31" s="18"/>
      <c r="E31" s="18"/>
      <c r="F31" s="18">
        <f>SUM(F2:F30)</f>
        <v>118375.4</v>
      </c>
      <c r="G31" s="14"/>
      <c r="H31" s="72">
        <f>SUM(H2:H30)</f>
        <v>1200</v>
      </c>
      <c r="I31" s="80"/>
      <c r="J31" s="18"/>
      <c r="K31" s="18">
        <f>SUM(K2:K30)</f>
        <v>19359.580000000002</v>
      </c>
      <c r="L31" s="14"/>
      <c r="M31" s="18">
        <f>SUM(M2:M3)</f>
        <v>0</v>
      </c>
      <c r="Q31" s="2"/>
      <c r="W31" s="132">
        <v>42758</v>
      </c>
      <c r="X31" s="10">
        <v>17.48</v>
      </c>
      <c r="Y31" s="10">
        <v>17.61</v>
      </c>
      <c r="Z31" s="10">
        <v>17.27</v>
      </c>
      <c r="AA31" s="10">
        <v>17.420000000000002</v>
      </c>
      <c r="AB31" s="94">
        <v>9514800</v>
      </c>
      <c r="AC31" s="10">
        <v>17.37</v>
      </c>
      <c r="AE31" s="137">
        <f t="shared" si="3"/>
        <v>-1.0820045558086466E-2</v>
      </c>
    </row>
    <row r="32" spans="1:31" ht="15.75" thickBot="1" x14ac:dyDescent="0.3">
      <c r="A32" s="353" t="s">
        <v>197</v>
      </c>
      <c r="B32" s="504"/>
      <c r="C32" s="355">
        <f>SumByColor($A$32, C2:C30)</f>
        <v>1200</v>
      </c>
      <c r="D32" s="355"/>
      <c r="E32" s="355"/>
      <c r="F32" s="356">
        <f>SumByColor($A$32, F2:F30)</f>
        <v>18806</v>
      </c>
      <c r="G32" s="355"/>
      <c r="H32" s="355">
        <f>SumByColor($A$32, H2:H30)</f>
        <v>1200</v>
      </c>
      <c r="I32" s="355"/>
      <c r="J32" s="356"/>
      <c r="K32" s="356">
        <f>SumByColor($A$32, K2:K30)</f>
        <v>19360</v>
      </c>
      <c r="L32" s="355"/>
      <c r="M32" s="356">
        <f>SumByColor($A$32, M2:M30)</f>
        <v>0</v>
      </c>
      <c r="Q32" s="2"/>
      <c r="W32" s="132">
        <v>42755</v>
      </c>
      <c r="X32" s="10">
        <v>17.489999999999998</v>
      </c>
      <c r="Y32" s="10">
        <v>17.75</v>
      </c>
      <c r="Z32" s="10">
        <v>17.420000000000002</v>
      </c>
      <c r="AA32" s="10">
        <v>17.61</v>
      </c>
      <c r="AB32" s="94">
        <v>11179200</v>
      </c>
      <c r="AC32" s="10">
        <v>17.559999999999999</v>
      </c>
      <c r="AE32" s="137">
        <f t="shared" si="3"/>
        <v>1.9744483159117365E-2</v>
      </c>
    </row>
    <row r="33" spans="1:31" x14ac:dyDescent="0.25">
      <c r="W33" s="132">
        <v>42754</v>
      </c>
      <c r="X33" s="10">
        <v>17.329999999999998</v>
      </c>
      <c r="Y33" s="10">
        <v>17.510000000000002</v>
      </c>
      <c r="Z33" s="10">
        <v>17.21</v>
      </c>
      <c r="AA33" s="10">
        <v>17.27</v>
      </c>
      <c r="AB33" s="94">
        <v>6267100</v>
      </c>
      <c r="AC33" s="10">
        <v>17.22</v>
      </c>
      <c r="AE33" s="137">
        <f t="shared" si="3"/>
        <v>-3.4722222222223209E-3</v>
      </c>
    </row>
    <row r="34" spans="1:31" x14ac:dyDescent="0.25">
      <c r="W34" s="132">
        <v>42753</v>
      </c>
      <c r="X34" s="10">
        <v>17.260000000000002</v>
      </c>
      <c r="Y34" s="10">
        <v>17.48</v>
      </c>
      <c r="Z34" s="10">
        <v>17.149999999999999</v>
      </c>
      <c r="AA34" s="10">
        <v>17.329999999999998</v>
      </c>
      <c r="AB34" s="94">
        <v>9286700</v>
      </c>
      <c r="AC34" s="10">
        <v>17.28</v>
      </c>
      <c r="AE34" s="137">
        <f t="shared" si="3"/>
        <v>-6.3254744105807337E-3</v>
      </c>
    </row>
    <row r="35" spans="1:31" x14ac:dyDescent="0.25">
      <c r="B35" s="505" t="s">
        <v>114</v>
      </c>
      <c r="C35" s="190" t="s">
        <v>147</v>
      </c>
      <c r="D35" s="198" t="s">
        <v>146</v>
      </c>
      <c r="E35" s="193" t="s">
        <v>148</v>
      </c>
      <c r="F35" s="194" t="s">
        <v>65</v>
      </c>
      <c r="G35" s="228" t="s">
        <v>152</v>
      </c>
      <c r="H35" s="194" t="s">
        <v>88</v>
      </c>
      <c r="I35" s="228" t="s">
        <v>155</v>
      </c>
      <c r="J35" s="228" t="s">
        <v>151</v>
      </c>
      <c r="W35" s="132">
        <v>42752</v>
      </c>
      <c r="X35" s="10">
        <v>17.63</v>
      </c>
      <c r="Y35" s="10">
        <v>17.7</v>
      </c>
      <c r="Z35" s="10">
        <v>17.399999999999999</v>
      </c>
      <c r="AA35" s="10">
        <v>17.440000000000001</v>
      </c>
      <c r="AB35" s="94">
        <v>6865000</v>
      </c>
      <c r="AC35" s="10">
        <v>17.39</v>
      </c>
      <c r="AE35" s="137">
        <f t="shared" si="3"/>
        <v>-5.7471264367803254E-4</v>
      </c>
    </row>
    <row r="36" spans="1:31" x14ac:dyDescent="0.25">
      <c r="A36" t="s">
        <v>490</v>
      </c>
      <c r="B36" s="156">
        <v>42787</v>
      </c>
      <c r="C36" s="10">
        <v>5700</v>
      </c>
      <c r="D36" s="241">
        <v>16.667088</v>
      </c>
      <c r="E36" s="40">
        <v>16.38</v>
      </c>
      <c r="F36" s="40">
        <f t="shared" ref="F36" si="4">C36*(E36-D36)</f>
        <v>-1636.4016000000038</v>
      </c>
      <c r="G36" s="40">
        <f t="shared" ref="G36" si="5">D36*C36</f>
        <v>95002.401599999997</v>
      </c>
      <c r="H36" s="230">
        <f t="shared" ref="H36" si="6">(E36-D36)/D36</f>
        <v>-1.7224844555929666E-2</v>
      </c>
      <c r="I36" s="40"/>
      <c r="J36" s="40"/>
      <c r="W36" s="132">
        <v>42748</v>
      </c>
      <c r="X36" s="10">
        <v>17.329999999999998</v>
      </c>
      <c r="Y36" s="10">
        <v>17.489999999999998</v>
      </c>
      <c r="Z36" s="10">
        <v>17.239999999999998</v>
      </c>
      <c r="AA36" s="10">
        <v>17.45</v>
      </c>
      <c r="AB36" s="94">
        <v>5406800</v>
      </c>
      <c r="AC36" s="10">
        <v>17.399999999999999</v>
      </c>
      <c r="AE36" s="137">
        <f t="shared" si="3"/>
        <v>5.7504312823453141E-4</v>
      </c>
    </row>
    <row r="37" spans="1:31" x14ac:dyDescent="0.25">
      <c r="A37" t="s">
        <v>506</v>
      </c>
      <c r="B37" s="156">
        <v>42788</v>
      </c>
      <c r="C37" s="10">
        <v>6000</v>
      </c>
      <c r="D37" s="241">
        <v>16.620999999999999</v>
      </c>
      <c r="E37" s="40">
        <v>15.76</v>
      </c>
      <c r="F37" s="40">
        <f t="shared" ref="F37" si="7">C37*(E37-D37)</f>
        <v>-5165.9999999999936</v>
      </c>
      <c r="G37" s="40">
        <f t="shared" ref="G37" si="8">D37*C37</f>
        <v>99725.999999999985</v>
      </c>
      <c r="H37" s="230">
        <f t="shared" ref="H37" si="9">(E37-D37)/D37</f>
        <v>-5.1801937308224473E-2</v>
      </c>
      <c r="I37" s="40"/>
      <c r="J37" s="40"/>
      <c r="W37" s="132">
        <v>42747</v>
      </c>
      <c r="X37" s="10">
        <v>18.03</v>
      </c>
      <c r="Y37" s="10">
        <v>18.100000000000001</v>
      </c>
      <c r="Z37" s="10">
        <v>17.329999999999998</v>
      </c>
      <c r="AA37" s="10">
        <v>17.440000000000001</v>
      </c>
      <c r="AB37" s="94">
        <v>10282400</v>
      </c>
      <c r="AC37" s="10">
        <v>17.39</v>
      </c>
      <c r="AE37" s="137">
        <f t="shared" si="3"/>
        <v>-1.4172335600907027E-2</v>
      </c>
    </row>
    <row r="38" spans="1:31" x14ac:dyDescent="0.25">
      <c r="A38">
        <v>600</v>
      </c>
      <c r="B38" s="156">
        <v>42795</v>
      </c>
      <c r="C38" s="10">
        <v>5500</v>
      </c>
      <c r="D38" s="241">
        <v>16.619900000000001</v>
      </c>
      <c r="E38" s="40">
        <v>16.45</v>
      </c>
      <c r="F38" s="40">
        <f t="shared" ref="F38" si="10">C38*(E38-D38)</f>
        <v>-934.45000000001062</v>
      </c>
      <c r="G38" s="40">
        <f t="shared" ref="G38" si="11">D38*C38</f>
        <v>91409.450000000012</v>
      </c>
      <c r="H38" s="230">
        <f t="shared" ref="H38" si="12">(E38-D38)/D38</f>
        <v>-1.0222684853699596E-2</v>
      </c>
      <c r="I38" s="40">
        <v>16.399999999999999</v>
      </c>
      <c r="J38" s="40">
        <v>13681</v>
      </c>
      <c r="W38" s="132">
        <v>42746</v>
      </c>
      <c r="X38" s="10">
        <v>17.559999999999999</v>
      </c>
      <c r="Y38" s="10">
        <v>17.760000000000002</v>
      </c>
      <c r="Z38" s="10">
        <v>17.47</v>
      </c>
      <c r="AA38" s="10">
        <v>17.690000000000001</v>
      </c>
      <c r="AB38" s="94">
        <v>9787400</v>
      </c>
      <c r="AC38" s="10">
        <v>17.64</v>
      </c>
      <c r="AE38" s="137">
        <f t="shared" si="3"/>
        <v>1.2048192771084487E-2</v>
      </c>
    </row>
    <row r="39" spans="1:31" x14ac:dyDescent="0.25">
      <c r="A39">
        <v>1400</v>
      </c>
      <c r="B39" s="156">
        <v>42796</v>
      </c>
      <c r="C39" s="10">
        <v>6000</v>
      </c>
      <c r="D39" s="241">
        <v>16.589099999999998</v>
      </c>
      <c r="E39" s="40">
        <v>16.14</v>
      </c>
      <c r="F39" s="40">
        <f t="shared" ref="F39" si="13">C39*(E39-D39)</f>
        <v>-2694.5999999999872</v>
      </c>
      <c r="G39" s="40">
        <f t="shared" ref="G39" si="14">D39*C39</f>
        <v>99534.599999999991</v>
      </c>
      <c r="H39" s="230">
        <f t="shared" ref="H39" si="15">(E39-D39)/D39</f>
        <v>-2.7071993055681011E-2</v>
      </c>
      <c r="I39" s="40">
        <v>16.25</v>
      </c>
      <c r="J39" s="40">
        <v>11921</v>
      </c>
      <c r="W39" s="132">
        <v>42745</v>
      </c>
      <c r="X39" s="10">
        <v>17.5</v>
      </c>
      <c r="Y39" s="10">
        <v>17.579999999999998</v>
      </c>
      <c r="Z39" s="10">
        <v>17.350000000000001</v>
      </c>
      <c r="AA39" s="10">
        <v>17.48</v>
      </c>
      <c r="AB39" s="94">
        <v>6969500</v>
      </c>
      <c r="AC39" s="10">
        <v>17.43</v>
      </c>
      <c r="AE39" s="137">
        <f t="shared" si="3"/>
        <v>4.610951008645392E-3</v>
      </c>
    </row>
    <row r="40" spans="1:31" x14ac:dyDescent="0.25">
      <c r="A40">
        <v>3600</v>
      </c>
      <c r="B40" s="156">
        <v>42798</v>
      </c>
      <c r="C40" s="10">
        <v>6000</v>
      </c>
      <c r="D40" s="241">
        <v>16.589099999999998</v>
      </c>
      <c r="E40" s="40">
        <v>16.14</v>
      </c>
      <c r="F40" s="40">
        <f t="shared" ref="F40" si="16">C40*(E40-D40)</f>
        <v>-2694.5999999999872</v>
      </c>
      <c r="G40" s="40">
        <f t="shared" ref="G40" si="17">D40*C40</f>
        <v>99534.599999999991</v>
      </c>
      <c r="H40" s="230">
        <f t="shared" ref="H40" si="18">(E40-D40)/D40</f>
        <v>-2.7071993055681011E-2</v>
      </c>
      <c r="I40" s="40">
        <v>16.25</v>
      </c>
      <c r="J40" s="40">
        <v>12161</v>
      </c>
      <c r="W40" s="132">
        <v>42744</v>
      </c>
      <c r="X40" s="10">
        <v>17.64</v>
      </c>
      <c r="Y40" s="10">
        <v>17.75</v>
      </c>
      <c r="Z40" s="10">
        <v>17.399999999999999</v>
      </c>
      <c r="AA40" s="10">
        <v>17.399999999999999</v>
      </c>
      <c r="AB40" s="94">
        <v>8839500</v>
      </c>
      <c r="AC40" s="10">
        <v>17.350000000000001</v>
      </c>
      <c r="AE40" s="137">
        <f t="shared" si="3"/>
        <v>-2.6374859708192977E-2</v>
      </c>
    </row>
    <row r="41" spans="1:31" ht="20.25" thickBot="1" x14ac:dyDescent="0.35">
      <c r="A41">
        <v>3600</v>
      </c>
      <c r="B41" s="156">
        <v>42800</v>
      </c>
      <c r="C41" s="10">
        <v>6000</v>
      </c>
      <c r="D41" s="241">
        <v>16.589099999999998</v>
      </c>
      <c r="E41" s="40">
        <v>16.47</v>
      </c>
      <c r="F41" s="40">
        <f t="shared" ref="F41:F42" si="19">C41*(E41-D41)</f>
        <v>-714.59999999999718</v>
      </c>
      <c r="G41" s="40">
        <f t="shared" ref="G41:G42" si="20">D41*C41</f>
        <v>99534.599999999991</v>
      </c>
      <c r="H41" s="230">
        <f t="shared" ref="H41:H42" si="21">(E41-D41)/D41</f>
        <v>-7.1794129880463405E-3</v>
      </c>
      <c r="I41" s="40">
        <v>16.25</v>
      </c>
      <c r="J41" s="40">
        <v>13901</v>
      </c>
      <c r="O41" s="703" t="s">
        <v>78</v>
      </c>
      <c r="P41" s="703"/>
      <c r="W41" s="132">
        <v>42741</v>
      </c>
      <c r="X41" s="10">
        <v>18.170000000000002</v>
      </c>
      <c r="Y41" s="10">
        <v>18.170000000000002</v>
      </c>
      <c r="Z41" s="10">
        <v>17.829999999999998</v>
      </c>
      <c r="AA41" s="10">
        <v>17.88</v>
      </c>
      <c r="AB41" s="94">
        <v>7807800</v>
      </c>
      <c r="AC41" s="10">
        <v>17.82</v>
      </c>
      <c r="AE41" s="137">
        <f t="shared" si="3"/>
        <v>-1.6556291390728561E-2</v>
      </c>
    </row>
    <row r="42" spans="1:31" ht="21" thickTop="1" thickBot="1" x14ac:dyDescent="0.35">
      <c r="A42">
        <v>3600</v>
      </c>
      <c r="B42" s="156">
        <v>42802</v>
      </c>
      <c r="C42" s="10">
        <v>6700</v>
      </c>
      <c r="D42" s="241">
        <v>16.427</v>
      </c>
      <c r="E42" s="40">
        <v>14.87</v>
      </c>
      <c r="F42" s="40">
        <f t="shared" si="19"/>
        <v>-10431.900000000003</v>
      </c>
      <c r="G42" s="40">
        <f t="shared" si="20"/>
        <v>110060.9</v>
      </c>
      <c r="H42" s="231">
        <f t="shared" si="21"/>
        <v>-9.478297924149269E-2</v>
      </c>
      <c r="I42" s="40"/>
      <c r="J42" s="40">
        <v>4183.99</v>
      </c>
      <c r="O42" s="82">
        <v>1.22</v>
      </c>
      <c r="P42" s="82">
        <f>O42*$Q$4</f>
        <v>19.715199999999999</v>
      </c>
      <c r="T42" s="133" t="s">
        <v>92</v>
      </c>
      <c r="W42" s="132">
        <v>42740</v>
      </c>
      <c r="X42" s="10">
        <v>18.100000000000001</v>
      </c>
      <c r="Y42" s="10">
        <v>18.27</v>
      </c>
      <c r="Z42" s="10">
        <v>17.88</v>
      </c>
      <c r="AA42" s="10">
        <v>18.18</v>
      </c>
      <c r="AB42" s="94">
        <v>9764700</v>
      </c>
      <c r="AC42" s="10">
        <v>18.12</v>
      </c>
      <c r="AE42" s="137">
        <f t="shared" si="3"/>
        <v>7.2262367982214304E-3</v>
      </c>
    </row>
    <row r="43" spans="1:31" ht="15.75" thickTop="1" x14ac:dyDescent="0.25">
      <c r="A43">
        <v>3600</v>
      </c>
      <c r="B43" s="156">
        <v>42803</v>
      </c>
      <c r="C43" s="10">
        <v>6000</v>
      </c>
      <c r="D43" s="241">
        <v>16.50263</v>
      </c>
      <c r="E43" s="40">
        <v>16.07</v>
      </c>
      <c r="F43" s="40">
        <f t="shared" ref="F43" si="22">C43*(E43-D43)</f>
        <v>-2595.7799999999979</v>
      </c>
      <c r="G43" s="40">
        <f t="shared" ref="G43" si="23">D43*C43</f>
        <v>99015.78</v>
      </c>
      <c r="H43" s="231">
        <f t="shared" ref="H43" si="24">(E43-D43)/D43</f>
        <v>-2.6215821356959445E-2</v>
      </c>
      <c r="I43" s="40">
        <v>16.25</v>
      </c>
      <c r="J43" s="40">
        <v>12020</v>
      </c>
      <c r="O43" s="82">
        <v>1.21</v>
      </c>
      <c r="P43" s="82">
        <f>O43*$Q$4</f>
        <v>19.553599999999999</v>
      </c>
      <c r="T43" s="134" t="s">
        <v>98</v>
      </c>
      <c r="U43" s="128">
        <v>16.14</v>
      </c>
      <c r="W43" s="132">
        <v>42739</v>
      </c>
      <c r="X43" s="10">
        <v>17.71</v>
      </c>
      <c r="Y43" s="10">
        <v>18.09</v>
      </c>
      <c r="Z43" s="10">
        <v>17.54</v>
      </c>
      <c r="AA43" s="10">
        <v>18.05</v>
      </c>
      <c r="AB43" s="94">
        <v>9323100</v>
      </c>
      <c r="AC43" s="10">
        <v>17.989999999999998</v>
      </c>
      <c r="AE43" s="137">
        <f t="shared" si="3"/>
        <v>1.5810276679841806E-2</v>
      </c>
    </row>
    <row r="44" spans="1:31" x14ac:dyDescent="0.25">
      <c r="B44" s="156"/>
      <c r="C44" s="10"/>
      <c r="D44" s="241"/>
      <c r="E44" s="40"/>
      <c r="F44" s="40"/>
      <c r="G44" s="40"/>
      <c r="H44" s="231"/>
      <c r="I44" s="40"/>
      <c r="J44" s="40"/>
      <c r="O44" s="82">
        <v>1.2</v>
      </c>
      <c r="P44" s="82">
        <f>O44*$Q$4</f>
        <v>19.391999999999999</v>
      </c>
      <c r="T44" s="135" t="s">
        <v>99</v>
      </c>
      <c r="U44" s="129">
        <v>16.18</v>
      </c>
      <c r="W44" s="132">
        <v>42738</v>
      </c>
      <c r="X44" s="10">
        <v>17.739999999999998</v>
      </c>
      <c r="Y44" s="10">
        <v>18.059999999999999</v>
      </c>
      <c r="Z44" s="10">
        <v>17.29</v>
      </c>
      <c r="AA44" s="10">
        <v>17.760000000000002</v>
      </c>
      <c r="AB44" s="94">
        <v>13526000</v>
      </c>
      <c r="AC44" s="10">
        <v>17.71</v>
      </c>
      <c r="AE44" s="137">
        <f t="shared" si="3"/>
        <v>2.6071842410196888E-2</v>
      </c>
    </row>
    <row r="45" spans="1:31" x14ac:dyDescent="0.25">
      <c r="B45" s="156"/>
      <c r="C45" s="10"/>
      <c r="D45" s="241"/>
      <c r="E45" s="40"/>
      <c r="F45" s="40"/>
      <c r="G45" s="40"/>
      <c r="H45" s="230"/>
      <c r="I45" s="40"/>
      <c r="J45" s="40"/>
      <c r="O45" s="82">
        <v>1.19</v>
      </c>
      <c r="P45" s="82">
        <f>O45*$Q$4</f>
        <v>19.230399999999999</v>
      </c>
      <c r="T45" s="135" t="s">
        <v>100</v>
      </c>
      <c r="U45" s="129" t="s">
        <v>129</v>
      </c>
      <c r="W45" s="132">
        <v>42734</v>
      </c>
      <c r="X45" s="10">
        <v>17.57</v>
      </c>
      <c r="Y45" s="10">
        <v>17.82</v>
      </c>
      <c r="Z45" s="10">
        <v>17.21</v>
      </c>
      <c r="AA45" s="10">
        <v>17.309999999999999</v>
      </c>
      <c r="AB45" s="94">
        <v>7920500</v>
      </c>
      <c r="AC45" s="10">
        <v>17.260000000000002</v>
      </c>
      <c r="AE45" s="137">
        <f t="shared" si="3"/>
        <v>-1.4840182648401701E-2</v>
      </c>
    </row>
    <row r="46" spans="1:31" x14ac:dyDescent="0.25">
      <c r="B46" s="156"/>
      <c r="C46" s="10"/>
      <c r="D46" s="241"/>
      <c r="E46" s="40"/>
      <c r="F46" s="40"/>
      <c r="G46" s="40"/>
      <c r="H46" s="231"/>
      <c r="I46" s="40"/>
      <c r="J46" s="40"/>
      <c r="O46" s="82">
        <v>1.18</v>
      </c>
      <c r="P46" s="82">
        <f>O46*$Q$4</f>
        <v>19.0688</v>
      </c>
      <c r="T46" s="135" t="s">
        <v>101</v>
      </c>
      <c r="U46" s="129" t="s">
        <v>129</v>
      </c>
      <c r="W46" s="132">
        <v>42733</v>
      </c>
      <c r="X46" s="10">
        <v>17.78</v>
      </c>
      <c r="Y46" s="10">
        <v>17.829999999999998</v>
      </c>
      <c r="Z46" s="10">
        <v>17.440000000000001</v>
      </c>
      <c r="AA46" s="10">
        <v>17.57</v>
      </c>
      <c r="AB46" s="94">
        <v>7020000</v>
      </c>
      <c r="AC46" s="10">
        <v>17.52</v>
      </c>
      <c r="AE46" s="137">
        <f t="shared" si="3"/>
        <v>-1.5177065767284947E-2</v>
      </c>
    </row>
    <row r="47" spans="1:31" x14ac:dyDescent="0.25">
      <c r="B47" s="156"/>
      <c r="C47" s="10"/>
      <c r="D47" s="241"/>
      <c r="E47" s="40"/>
      <c r="F47" s="40"/>
      <c r="G47" s="40"/>
      <c r="H47" s="230"/>
      <c r="I47" s="40"/>
      <c r="J47" s="40"/>
      <c r="O47" s="82">
        <v>1.17</v>
      </c>
      <c r="P47" s="82">
        <f t="shared" ref="P47:P53" si="25">O47*$Q$4</f>
        <v>18.9072</v>
      </c>
      <c r="T47" s="135" t="s">
        <v>102</v>
      </c>
      <c r="U47" s="129">
        <v>20.82</v>
      </c>
      <c r="W47" s="132">
        <v>42732</v>
      </c>
      <c r="X47" s="10">
        <v>18.11</v>
      </c>
      <c r="Y47" s="10">
        <v>18.29</v>
      </c>
      <c r="Z47" s="10">
        <v>17.84</v>
      </c>
      <c r="AA47" s="10">
        <v>17.850000000000001</v>
      </c>
      <c r="AB47" s="94">
        <v>8333800</v>
      </c>
      <c r="AC47" s="10">
        <v>17.79</v>
      </c>
      <c r="AE47" s="137">
        <f t="shared" si="3"/>
        <v>-1.6039823008849541E-2</v>
      </c>
    </row>
    <row r="48" spans="1:31" x14ac:dyDescent="0.25">
      <c r="B48" s="156"/>
      <c r="C48" s="10"/>
      <c r="D48" s="241"/>
      <c r="E48" s="40"/>
      <c r="F48" s="40"/>
      <c r="G48" s="40"/>
      <c r="H48" s="231"/>
      <c r="I48" s="40"/>
      <c r="J48" s="40"/>
      <c r="O48" s="82">
        <v>1.1599999999999999</v>
      </c>
      <c r="P48" s="82">
        <f t="shared" si="25"/>
        <v>18.7456</v>
      </c>
      <c r="T48" s="135" t="s">
        <v>103</v>
      </c>
      <c r="U48" s="129">
        <v>2.7581099999999998</v>
      </c>
      <c r="W48" s="132">
        <v>42731</v>
      </c>
      <c r="X48" s="10">
        <v>18.100000000000001</v>
      </c>
      <c r="Y48" s="10">
        <v>18.2</v>
      </c>
      <c r="Z48" s="10">
        <v>18</v>
      </c>
      <c r="AA48" s="10">
        <v>18.14</v>
      </c>
      <c r="AB48" s="94">
        <v>5384100</v>
      </c>
      <c r="AC48" s="10">
        <v>18.079999999999998</v>
      </c>
      <c r="AE48" s="137">
        <f t="shared" si="3"/>
        <v>4.444444444444251E-3</v>
      </c>
    </row>
    <row r="49" spans="2:31" x14ac:dyDescent="0.25">
      <c r="B49" s="156"/>
      <c r="C49" s="10"/>
      <c r="D49" s="241"/>
      <c r="E49" s="40"/>
      <c r="F49" s="40"/>
      <c r="G49" s="40"/>
      <c r="H49" s="230"/>
      <c r="I49" s="40"/>
      <c r="J49" s="40"/>
      <c r="O49" s="82">
        <v>1.1499999999999999</v>
      </c>
      <c r="P49" s="82">
        <f t="shared" si="25"/>
        <v>18.584</v>
      </c>
      <c r="T49" s="135" t="s">
        <v>122</v>
      </c>
      <c r="U49" s="129" t="s">
        <v>479</v>
      </c>
      <c r="W49" s="132">
        <v>42727</v>
      </c>
      <c r="X49" s="10">
        <v>17.98</v>
      </c>
      <c r="Y49" s="10">
        <v>18.2</v>
      </c>
      <c r="Z49" s="10">
        <v>17.940000000000001</v>
      </c>
      <c r="AA49" s="10">
        <v>18.059999999999999</v>
      </c>
      <c r="AB49" s="94">
        <v>7624400</v>
      </c>
      <c r="AC49" s="10">
        <v>18</v>
      </c>
      <c r="AE49" s="137">
        <f t="shared" si="3"/>
        <v>1.1123470522802492E-3</v>
      </c>
    </row>
    <row r="50" spans="2:31" x14ac:dyDescent="0.25">
      <c r="B50" s="156"/>
      <c r="C50" s="10"/>
      <c r="D50" s="241"/>
      <c r="E50" s="40"/>
      <c r="F50" s="40"/>
      <c r="G50" s="40"/>
      <c r="H50" s="231"/>
      <c r="I50" s="40"/>
      <c r="J50" s="40"/>
      <c r="O50" s="82">
        <v>1.1399999999999999</v>
      </c>
      <c r="P50" s="82">
        <f t="shared" si="25"/>
        <v>18.4224</v>
      </c>
      <c r="T50" s="135"/>
      <c r="U50" s="129"/>
      <c r="W50" s="132">
        <v>42726</v>
      </c>
      <c r="X50" s="10">
        <v>18.12</v>
      </c>
      <c r="Y50" s="10">
        <v>18.350000000000001</v>
      </c>
      <c r="Z50" s="10">
        <v>18</v>
      </c>
      <c r="AA50" s="10">
        <v>18.04</v>
      </c>
      <c r="AB50" s="94">
        <v>9169500</v>
      </c>
      <c r="AC50" s="10">
        <v>17.98</v>
      </c>
      <c r="AE50" s="137">
        <f t="shared" si="3"/>
        <v>-2.2197558268589601E-3</v>
      </c>
    </row>
    <row r="51" spans="2:31" x14ac:dyDescent="0.25">
      <c r="B51" s="156"/>
      <c r="C51" s="10"/>
      <c r="D51" s="241"/>
      <c r="E51" s="40"/>
      <c r="F51" s="40"/>
      <c r="G51" s="40"/>
      <c r="H51" s="230"/>
      <c r="I51" s="40"/>
      <c r="J51" s="40"/>
      <c r="O51" s="82">
        <v>1.1299999999999999</v>
      </c>
      <c r="P51" s="82">
        <f t="shared" si="25"/>
        <v>18.2608</v>
      </c>
      <c r="T51" s="135" t="s">
        <v>105</v>
      </c>
      <c r="U51" s="129" t="s">
        <v>626</v>
      </c>
      <c r="W51" s="132">
        <v>42725</v>
      </c>
      <c r="X51" s="10">
        <v>18.559999999999999</v>
      </c>
      <c r="Y51" s="10">
        <v>18.59</v>
      </c>
      <c r="Z51" s="10">
        <v>18.05</v>
      </c>
      <c r="AA51" s="10">
        <v>18.079999999999998</v>
      </c>
      <c r="AB51" s="94">
        <v>8167300</v>
      </c>
      <c r="AC51" s="10">
        <v>18.02</v>
      </c>
      <c r="AE51" s="137">
        <f t="shared" si="3"/>
        <v>-1.2602739726027434E-2</v>
      </c>
    </row>
    <row r="52" spans="2:31" x14ac:dyDescent="0.25">
      <c r="O52" s="82">
        <v>1.1200000000000001</v>
      </c>
      <c r="P52" s="82">
        <f t="shared" si="25"/>
        <v>18.099200000000003</v>
      </c>
      <c r="T52" s="135" t="s">
        <v>106</v>
      </c>
      <c r="U52" s="129" t="s">
        <v>555</v>
      </c>
      <c r="W52" s="132">
        <v>42724</v>
      </c>
      <c r="X52" s="10">
        <v>18.61</v>
      </c>
      <c r="Y52" s="10">
        <v>18.79</v>
      </c>
      <c r="Z52" s="10">
        <v>18.239999999999998</v>
      </c>
      <c r="AA52" s="10">
        <v>18.309999999999999</v>
      </c>
      <c r="AB52" s="94">
        <v>10116000</v>
      </c>
      <c r="AC52" s="10">
        <v>18.25</v>
      </c>
      <c r="AE52" s="137">
        <f t="shared" si="3"/>
        <v>-1.0840108401083959E-2</v>
      </c>
    </row>
    <row r="53" spans="2:31" ht="15" customHeight="1" x14ac:dyDescent="0.25">
      <c r="O53" s="82">
        <v>1.1100000000000001</v>
      </c>
      <c r="P53" s="82">
        <f t="shared" si="25"/>
        <v>17.937600000000003</v>
      </c>
      <c r="T53" s="135" t="s">
        <v>107</v>
      </c>
      <c r="U53" s="130">
        <v>6984632</v>
      </c>
      <c r="W53" s="132">
        <v>42723</v>
      </c>
      <c r="X53" s="10">
        <v>18.649999999999999</v>
      </c>
      <c r="Y53" s="10">
        <v>18.7</v>
      </c>
      <c r="Z53" s="10">
        <v>18.3</v>
      </c>
      <c r="AA53" s="10">
        <v>18.510000000000002</v>
      </c>
      <c r="AB53" s="94">
        <v>10731700</v>
      </c>
      <c r="AC53" s="10">
        <v>18.45</v>
      </c>
      <c r="AE53" s="137">
        <f t="shared" si="3"/>
        <v>-4.31732325957912E-3</v>
      </c>
    </row>
    <row r="54" spans="2:31" x14ac:dyDescent="0.25">
      <c r="O54" s="82">
        <v>1.1000000000000001</v>
      </c>
      <c r="P54" s="82">
        <f>O54*$Q$4</f>
        <v>17.776000000000003</v>
      </c>
      <c r="T54" s="135" t="s">
        <v>110</v>
      </c>
      <c r="U54" s="130">
        <v>11503800</v>
      </c>
      <c r="W54" s="132">
        <v>42720</v>
      </c>
      <c r="X54" s="10">
        <v>18.34</v>
      </c>
      <c r="Y54" s="10">
        <v>19.02</v>
      </c>
      <c r="Z54" s="10">
        <v>18.22</v>
      </c>
      <c r="AA54" s="10">
        <v>18.59</v>
      </c>
      <c r="AB54" s="94">
        <v>20606500</v>
      </c>
      <c r="AC54" s="10">
        <v>18.53</v>
      </c>
      <c r="AE54" s="137">
        <f t="shared" si="3"/>
        <v>1.9251925192519392E-2</v>
      </c>
    </row>
    <row r="55" spans="2:31" x14ac:dyDescent="0.25">
      <c r="O55" s="82">
        <v>1.0900000000000001</v>
      </c>
      <c r="P55" s="82">
        <f t="shared" ref="P55:P74" si="26">O55*$Q$4</f>
        <v>17.6144</v>
      </c>
      <c r="T55" s="135" t="s">
        <v>108</v>
      </c>
      <c r="U55" s="129" t="s">
        <v>627</v>
      </c>
      <c r="W55" s="132">
        <v>42719</v>
      </c>
      <c r="X55" s="10">
        <v>17.86</v>
      </c>
      <c r="Y55" s="10">
        <v>18.59</v>
      </c>
      <c r="Z55" s="10">
        <v>17.559999999999999</v>
      </c>
      <c r="AA55" s="10">
        <v>18.239999999999998</v>
      </c>
      <c r="AB55" s="94">
        <v>18064000</v>
      </c>
      <c r="AC55" s="10">
        <v>18.18</v>
      </c>
      <c r="AE55" s="137">
        <f t="shared" si="3"/>
        <v>2.2050716648289725E-3</v>
      </c>
    </row>
    <row r="56" spans="2:31" x14ac:dyDescent="0.25">
      <c r="B56" s="664" t="s">
        <v>114</v>
      </c>
      <c r="C56" s="511" t="s">
        <v>147</v>
      </c>
      <c r="D56" s="665" t="s">
        <v>146</v>
      </c>
      <c r="E56" s="513" t="s">
        <v>148</v>
      </c>
      <c r="F56" s="514" t="s">
        <v>65</v>
      </c>
      <c r="G56" s="515" t="s">
        <v>152</v>
      </c>
      <c r="H56" s="514" t="s">
        <v>88</v>
      </c>
      <c r="I56" s="515" t="s">
        <v>155</v>
      </c>
      <c r="O56" s="82">
        <v>1.08</v>
      </c>
      <c r="P56" s="82">
        <f t="shared" si="26"/>
        <v>17.4528</v>
      </c>
      <c r="T56" s="135" t="s">
        <v>111</v>
      </c>
      <c r="U56" s="129" t="s">
        <v>129</v>
      </c>
      <c r="W56" s="132">
        <v>42718</v>
      </c>
      <c r="X56" s="10">
        <v>18.59</v>
      </c>
      <c r="Y56" s="10">
        <v>18.95</v>
      </c>
      <c r="Z56" s="10">
        <v>18.16</v>
      </c>
      <c r="AA56" s="10">
        <v>18.2</v>
      </c>
      <c r="AB56" s="94">
        <v>21319000</v>
      </c>
      <c r="AC56" s="10">
        <v>18.14</v>
      </c>
      <c r="AE56" s="137">
        <f t="shared" si="3"/>
        <v>-3.2017075773745907E-2</v>
      </c>
    </row>
    <row r="57" spans="2:31" x14ac:dyDescent="0.25">
      <c r="B57" s="666">
        <v>42305</v>
      </c>
      <c r="C57" s="378">
        <v>2000</v>
      </c>
      <c r="D57" s="667">
        <v>34.06</v>
      </c>
      <c r="E57" s="379">
        <v>17.68</v>
      </c>
      <c r="F57" s="379">
        <v>-32767.45</v>
      </c>
      <c r="G57" s="379">
        <f t="shared" ref="G57:G63" si="27">IF(C57=0, 0,D57*C57)</f>
        <v>68120</v>
      </c>
      <c r="H57" s="381">
        <f t="shared" ref="H57:H63" si="28">IF(C57=0, D57, (E57-D57)/D57)</f>
        <v>-0.48091603053435117</v>
      </c>
      <c r="I57" s="379"/>
      <c r="O57" s="82">
        <v>1.07</v>
      </c>
      <c r="P57" s="82">
        <f t="shared" si="26"/>
        <v>17.2912</v>
      </c>
      <c r="T57" s="135" t="s">
        <v>112</v>
      </c>
      <c r="U57" s="129">
        <v>-2.61</v>
      </c>
      <c r="W57" s="132">
        <v>42717</v>
      </c>
      <c r="X57" s="10">
        <v>18.809999999999999</v>
      </c>
      <c r="Y57" s="10">
        <v>19</v>
      </c>
      <c r="Z57" s="10">
        <v>18.329999999999998</v>
      </c>
      <c r="AA57" s="10">
        <v>18.8</v>
      </c>
      <c r="AB57" s="94">
        <v>18022900</v>
      </c>
      <c r="AC57" s="10">
        <v>18.739999999999998</v>
      </c>
      <c r="AE57" s="137">
        <f t="shared" si="3"/>
        <v>1.6820401519261896E-2</v>
      </c>
    </row>
    <row r="58" spans="2:31" x14ac:dyDescent="0.25">
      <c r="B58" s="666">
        <v>42307</v>
      </c>
      <c r="C58" s="378">
        <v>0</v>
      </c>
      <c r="D58" s="667" t="s">
        <v>129</v>
      </c>
      <c r="E58" s="379">
        <v>17.55</v>
      </c>
      <c r="F58" s="379">
        <v>-30722.2</v>
      </c>
      <c r="G58" s="379">
        <f t="shared" si="27"/>
        <v>0</v>
      </c>
      <c r="H58" s="381" t="str">
        <f t="shared" si="28"/>
        <v>N/A</v>
      </c>
      <c r="I58" s="379"/>
      <c r="O58" s="82">
        <v>1.06</v>
      </c>
      <c r="P58" s="82">
        <f t="shared" si="26"/>
        <v>17.1296</v>
      </c>
      <c r="T58" s="135" t="s">
        <v>109</v>
      </c>
      <c r="U58" s="129" t="s">
        <v>628</v>
      </c>
      <c r="W58" s="132">
        <v>42716</v>
      </c>
      <c r="X58" s="10">
        <v>19.149999999999999</v>
      </c>
      <c r="Y58" s="10">
        <v>19.28</v>
      </c>
      <c r="Z58" s="10">
        <v>18.48</v>
      </c>
      <c r="AA58" s="10">
        <v>18.489999999999998</v>
      </c>
      <c r="AB58" s="94">
        <v>21518400</v>
      </c>
      <c r="AC58" s="10">
        <v>18.43</v>
      </c>
      <c r="AE58" s="137">
        <f t="shared" si="3"/>
        <v>1.3194062671797679E-2</v>
      </c>
    </row>
    <row r="59" spans="2:31" x14ac:dyDescent="0.25">
      <c r="B59" s="666">
        <v>42310</v>
      </c>
      <c r="C59" s="378">
        <v>0</v>
      </c>
      <c r="D59" s="667" t="s">
        <v>129</v>
      </c>
      <c r="E59" s="379">
        <v>19.010000000000002</v>
      </c>
      <c r="F59" s="379">
        <v>-30693.25</v>
      </c>
      <c r="G59" s="379">
        <f t="shared" si="27"/>
        <v>0</v>
      </c>
      <c r="H59" s="381" t="str">
        <f t="shared" si="28"/>
        <v>N/A</v>
      </c>
      <c r="I59" s="379"/>
      <c r="O59" s="82">
        <v>1.05</v>
      </c>
      <c r="P59" s="82">
        <f t="shared" si="26"/>
        <v>16.968</v>
      </c>
      <c r="W59" s="132">
        <v>42713</v>
      </c>
      <c r="X59" s="10">
        <v>18.559999999999999</v>
      </c>
      <c r="Y59" s="10">
        <v>18.579999999999998</v>
      </c>
      <c r="Z59" s="10">
        <v>18.079999999999998</v>
      </c>
      <c r="AA59" s="10">
        <v>18.25</v>
      </c>
      <c r="AB59" s="94">
        <v>10999700</v>
      </c>
      <c r="AC59" s="10">
        <v>18.190000000000001</v>
      </c>
      <c r="AE59" s="137">
        <f t="shared" si="3"/>
        <v>-7.0960698689955803E-3</v>
      </c>
    </row>
    <row r="60" spans="2:31" x14ac:dyDescent="0.25">
      <c r="B60" s="666">
        <v>42314</v>
      </c>
      <c r="C60" s="378">
        <v>2500</v>
      </c>
      <c r="D60" s="667">
        <v>30.24</v>
      </c>
      <c r="E60" s="379">
        <v>18.29</v>
      </c>
      <c r="F60" s="379">
        <v>-29878.25</v>
      </c>
      <c r="G60" s="379">
        <f t="shared" si="27"/>
        <v>75600</v>
      </c>
      <c r="H60" s="381">
        <f t="shared" si="28"/>
        <v>-0.39517195767195767</v>
      </c>
      <c r="I60" s="379"/>
      <c r="O60" s="82">
        <v>1.04</v>
      </c>
      <c r="P60" s="82">
        <f t="shared" si="26"/>
        <v>16.8064</v>
      </c>
      <c r="W60" s="132">
        <v>42712</v>
      </c>
      <c r="X60" s="10">
        <v>18.5</v>
      </c>
      <c r="Y60" s="10">
        <v>18.59</v>
      </c>
      <c r="Z60" s="10">
        <v>18.170000000000002</v>
      </c>
      <c r="AA60" s="10">
        <v>18.38</v>
      </c>
      <c r="AB60" s="94">
        <v>14506400</v>
      </c>
      <c r="AC60" s="10">
        <v>18.32</v>
      </c>
      <c r="AE60" s="137">
        <f t="shared" si="3"/>
        <v>-2.1786492374726851E-3</v>
      </c>
    </row>
    <row r="61" spans="2:31" x14ac:dyDescent="0.25">
      <c r="B61" s="666">
        <v>42318</v>
      </c>
      <c r="C61" s="378">
        <v>0</v>
      </c>
      <c r="D61" s="667" t="s">
        <v>129</v>
      </c>
      <c r="E61" s="379">
        <v>18.78</v>
      </c>
      <c r="F61" s="379">
        <v>-28604.09</v>
      </c>
      <c r="G61" s="379">
        <f t="shared" si="27"/>
        <v>0</v>
      </c>
      <c r="H61" s="381" t="str">
        <f t="shared" si="28"/>
        <v>N/A</v>
      </c>
      <c r="I61" s="379"/>
      <c r="O61" s="82">
        <v>1.03</v>
      </c>
      <c r="P61" s="82">
        <f t="shared" si="26"/>
        <v>16.6448</v>
      </c>
      <c r="W61" s="132">
        <v>42711</v>
      </c>
      <c r="X61" s="10">
        <v>18.21</v>
      </c>
      <c r="Y61" s="10">
        <v>18.489999999999998</v>
      </c>
      <c r="Z61" s="10">
        <v>18.09</v>
      </c>
      <c r="AA61" s="10">
        <v>18.420000000000002</v>
      </c>
      <c r="AB61" s="94">
        <v>14177800</v>
      </c>
      <c r="AC61" s="10">
        <v>18.36</v>
      </c>
      <c r="AE61" s="137">
        <f t="shared" si="3"/>
        <v>3.8272279934390419E-3</v>
      </c>
    </row>
    <row r="62" spans="2:31" x14ac:dyDescent="0.25">
      <c r="B62" s="666">
        <v>42328</v>
      </c>
      <c r="C62" s="378">
        <v>3078</v>
      </c>
      <c r="D62" s="667">
        <v>26.76</v>
      </c>
      <c r="E62" s="379">
        <v>17.440000000000001</v>
      </c>
      <c r="F62" s="379">
        <v>-28696.448999999906</v>
      </c>
      <c r="G62" s="379">
        <f t="shared" si="27"/>
        <v>82367.28</v>
      </c>
      <c r="H62" s="381">
        <f t="shared" si="28"/>
        <v>-0.34828101644245141</v>
      </c>
      <c r="I62" s="379"/>
      <c r="O62" s="82">
        <v>1.02</v>
      </c>
      <c r="P62" s="82">
        <f t="shared" si="26"/>
        <v>16.4832</v>
      </c>
      <c r="W62" s="132">
        <v>42710</v>
      </c>
      <c r="X62" s="10">
        <v>18.12</v>
      </c>
      <c r="Y62" s="10">
        <v>18.62</v>
      </c>
      <c r="Z62" s="10">
        <v>17.93</v>
      </c>
      <c r="AA62" s="10">
        <v>18.350000000000001</v>
      </c>
      <c r="AB62" s="94">
        <v>13954500</v>
      </c>
      <c r="AC62" s="10">
        <v>18.29</v>
      </c>
      <c r="AE62" s="137">
        <f t="shared" si="3"/>
        <v>-2.1822149481723896E-3</v>
      </c>
    </row>
    <row r="63" spans="2:31" x14ac:dyDescent="0.25">
      <c r="B63" s="666">
        <v>42331</v>
      </c>
      <c r="C63" s="378">
        <v>0</v>
      </c>
      <c r="D63" s="667" t="s">
        <v>129</v>
      </c>
      <c r="E63" s="379">
        <v>17.53</v>
      </c>
      <c r="F63" s="379">
        <v>-28051.068999999901</v>
      </c>
      <c r="G63" s="379">
        <f t="shared" si="27"/>
        <v>0</v>
      </c>
      <c r="H63" s="381" t="str">
        <f t="shared" si="28"/>
        <v>N/A</v>
      </c>
      <c r="I63" s="379"/>
      <c r="O63" s="82">
        <v>1.01</v>
      </c>
      <c r="P63" s="82">
        <f t="shared" si="26"/>
        <v>16.3216</v>
      </c>
      <c r="W63" s="132">
        <v>42709</v>
      </c>
      <c r="X63" s="10">
        <v>18.55</v>
      </c>
      <c r="Y63" s="10">
        <v>18.73</v>
      </c>
      <c r="Z63" s="10">
        <v>18.29</v>
      </c>
      <c r="AA63" s="10">
        <v>18.39</v>
      </c>
      <c r="AB63" s="94">
        <v>14032100</v>
      </c>
      <c r="AC63" s="10">
        <v>18.329999999999998</v>
      </c>
      <c r="AE63" s="137">
        <f t="shared" si="3"/>
        <v>1.0474090407938119E-2</v>
      </c>
    </row>
    <row r="64" spans="2:31" x14ac:dyDescent="0.25">
      <c r="B64" s="666">
        <v>42335</v>
      </c>
      <c r="C64" s="378">
        <v>3078</v>
      </c>
      <c r="D64" s="667">
        <v>26.85</v>
      </c>
      <c r="E64" s="379">
        <v>17.73</v>
      </c>
      <c r="F64" s="379">
        <f>C64*(E64-D64)</f>
        <v>-28071.360000000004</v>
      </c>
      <c r="G64" s="379">
        <f>D64*C64</f>
        <v>82644.3</v>
      </c>
      <c r="H64" s="380">
        <f>(E64-D64)/D64</f>
        <v>-0.33966480446927377</v>
      </c>
      <c r="I64" s="379"/>
      <c r="O64" s="82">
        <v>1</v>
      </c>
      <c r="P64" s="82">
        <f t="shared" si="26"/>
        <v>16.16</v>
      </c>
      <c r="W64" s="132">
        <v>42706</v>
      </c>
      <c r="X64" s="10">
        <v>17.84</v>
      </c>
      <c r="Y64" s="10">
        <v>18.39</v>
      </c>
      <c r="Z64" s="10">
        <v>17.84</v>
      </c>
      <c r="AA64" s="10">
        <v>18.2</v>
      </c>
      <c r="AB64" s="94">
        <v>16678700</v>
      </c>
      <c r="AC64" s="10">
        <v>18.14</v>
      </c>
      <c r="AE64" s="137">
        <f t="shared" si="3"/>
        <v>1.7386427369601831E-2</v>
      </c>
    </row>
    <row r="65" spans="2:31" x14ac:dyDescent="0.25">
      <c r="B65" s="666">
        <v>42335</v>
      </c>
      <c r="C65" s="378">
        <v>3578</v>
      </c>
      <c r="D65" s="667">
        <v>25.55</v>
      </c>
      <c r="E65" s="379">
        <v>17.440000000000001</v>
      </c>
      <c r="F65" s="379">
        <f t="shared" ref="F65:F96" si="29">C65*(E65-D65)</f>
        <v>-29017.579999999998</v>
      </c>
      <c r="G65" s="379">
        <f t="shared" ref="G65:G94" si="30">D65*C65</f>
        <v>91417.900000000009</v>
      </c>
      <c r="H65" s="380">
        <f t="shared" ref="H65:H94" si="31">(E65-D65)/D65</f>
        <v>-0.31741682974559682</v>
      </c>
      <c r="I65" s="379"/>
      <c r="O65" s="82">
        <v>0.99</v>
      </c>
      <c r="P65" s="82">
        <f t="shared" si="26"/>
        <v>15.9984</v>
      </c>
      <c r="W65" s="132">
        <v>42705</v>
      </c>
      <c r="X65" s="10">
        <v>19.12</v>
      </c>
      <c r="Y65" s="10">
        <v>19.14</v>
      </c>
      <c r="Z65" s="10">
        <v>17.579999999999998</v>
      </c>
      <c r="AA65" s="10">
        <v>17.89</v>
      </c>
      <c r="AB65" s="94">
        <v>36112900</v>
      </c>
      <c r="AC65" s="10">
        <v>17.829999999999998</v>
      </c>
      <c r="AE65" s="137">
        <f t="shared" si="3"/>
        <v>-9.4444444444445885E-3</v>
      </c>
    </row>
    <row r="66" spans="2:31" x14ac:dyDescent="0.25">
      <c r="B66" s="666">
        <v>42340</v>
      </c>
      <c r="C66" s="378">
        <v>4178</v>
      </c>
      <c r="D66" s="667">
        <v>24.29</v>
      </c>
      <c r="E66" s="379">
        <v>16.670000000000002</v>
      </c>
      <c r="F66" s="379">
        <f t="shared" si="29"/>
        <v>-31836.35999999999</v>
      </c>
      <c r="G66" s="379">
        <f t="shared" si="30"/>
        <v>101483.62</v>
      </c>
      <c r="H66" s="380">
        <f t="shared" si="31"/>
        <v>-0.31370934540963352</v>
      </c>
      <c r="I66" s="379"/>
      <c r="O66" s="82">
        <v>0.98</v>
      </c>
      <c r="P66" s="82">
        <f t="shared" si="26"/>
        <v>15.8368</v>
      </c>
      <c r="W66" s="132">
        <v>42704</v>
      </c>
      <c r="X66" s="10">
        <v>16.38</v>
      </c>
      <c r="Y66" s="10">
        <v>18.55</v>
      </c>
      <c r="Z66" s="10">
        <v>16.38</v>
      </c>
      <c r="AA66" s="10">
        <v>18.059999999999999</v>
      </c>
      <c r="AB66" s="94">
        <v>74592400</v>
      </c>
      <c r="AC66" s="10">
        <v>18</v>
      </c>
      <c r="AE66" s="137">
        <f t="shared" si="3"/>
        <v>0.20805369127516782</v>
      </c>
    </row>
    <row r="67" spans="2:31" x14ac:dyDescent="0.25">
      <c r="B67" s="666">
        <v>42342</v>
      </c>
      <c r="C67" s="378">
        <v>4678</v>
      </c>
      <c r="D67" s="667">
        <v>23.39</v>
      </c>
      <c r="E67" s="379">
        <v>16.12</v>
      </c>
      <c r="F67" s="379">
        <f t="shared" si="29"/>
        <v>-34009.06</v>
      </c>
      <c r="G67" s="379">
        <f t="shared" si="30"/>
        <v>109418.42</v>
      </c>
      <c r="H67" s="380">
        <f t="shared" si="31"/>
        <v>-0.31081658828559211</v>
      </c>
      <c r="I67" s="379"/>
      <c r="O67" s="82">
        <v>0.97</v>
      </c>
      <c r="P67" s="82">
        <f t="shared" si="26"/>
        <v>15.6752</v>
      </c>
      <c r="W67" s="132">
        <v>42703</v>
      </c>
      <c r="X67" s="10">
        <v>15.14</v>
      </c>
      <c r="Y67" s="10">
        <v>15.16</v>
      </c>
      <c r="Z67" s="10">
        <v>14.71</v>
      </c>
      <c r="AA67" s="10">
        <v>14.95</v>
      </c>
      <c r="AB67" s="94">
        <v>20300500</v>
      </c>
      <c r="AC67" s="10">
        <v>14.9</v>
      </c>
      <c r="AE67" s="137" t="e">
        <f>AC67/#REF!-1</f>
        <v>#REF!</v>
      </c>
    </row>
    <row r="68" spans="2:31" x14ac:dyDescent="0.25">
      <c r="B68" s="666">
        <v>42342</v>
      </c>
      <c r="C68" s="378">
        <v>4178</v>
      </c>
      <c r="D68" s="667">
        <v>24.26</v>
      </c>
      <c r="E68" s="379">
        <v>16.12</v>
      </c>
      <c r="F68" s="379">
        <f t="shared" si="29"/>
        <v>-34008.920000000006</v>
      </c>
      <c r="G68" s="379">
        <f t="shared" si="30"/>
        <v>101358.28000000001</v>
      </c>
      <c r="H68" s="380">
        <f t="shared" si="31"/>
        <v>-0.33553173948887055</v>
      </c>
      <c r="I68" s="379"/>
      <c r="O68" s="82">
        <v>0.96</v>
      </c>
      <c r="P68" s="82">
        <f t="shared" si="26"/>
        <v>15.5136</v>
      </c>
      <c r="W68" s="132">
        <v>42702</v>
      </c>
      <c r="X68" s="10">
        <v>16.55</v>
      </c>
      <c r="Y68" s="10">
        <v>16.579999999999998</v>
      </c>
      <c r="Z68" s="10">
        <v>15.51</v>
      </c>
      <c r="AA68" s="10">
        <v>15.54</v>
      </c>
      <c r="AB68" s="94">
        <v>20131700</v>
      </c>
      <c r="AC68" s="10">
        <v>15.49</v>
      </c>
      <c r="AE68" s="137" t="e">
        <f>#REF!/AC69-1</f>
        <v>#REF!</v>
      </c>
    </row>
    <row r="69" spans="2:31" x14ac:dyDescent="0.25">
      <c r="B69" s="666">
        <v>42345</v>
      </c>
      <c r="C69" s="378">
        <v>4678</v>
      </c>
      <c r="D69" s="667">
        <v>23.24</v>
      </c>
      <c r="E69" s="379">
        <v>14.78</v>
      </c>
      <c r="F69" s="379">
        <f t="shared" si="29"/>
        <v>-39575.879999999997</v>
      </c>
      <c r="G69" s="379">
        <f t="shared" si="30"/>
        <v>108716.71999999999</v>
      </c>
      <c r="H69" s="380">
        <f t="shared" si="31"/>
        <v>-0.36402753872633387</v>
      </c>
      <c r="I69" s="379"/>
      <c r="O69" s="82">
        <v>0.95</v>
      </c>
      <c r="P69" s="82">
        <f t="shared" si="26"/>
        <v>15.351999999999999</v>
      </c>
      <c r="W69" s="132" t="s">
        <v>121</v>
      </c>
      <c r="X69" s="10"/>
      <c r="Y69" s="10"/>
      <c r="Z69" s="10"/>
      <c r="AA69" s="10"/>
      <c r="AB69" s="94"/>
      <c r="AC69" s="10"/>
      <c r="AE69" s="137" t="e">
        <f>AC69/AC70-1</f>
        <v>#DIV/0!</v>
      </c>
    </row>
    <row r="70" spans="2:31" x14ac:dyDescent="0.25">
      <c r="B70" s="666">
        <v>42347</v>
      </c>
      <c r="C70" s="378">
        <v>4778</v>
      </c>
      <c r="D70" s="667">
        <v>23.06</v>
      </c>
      <c r="E70" s="379">
        <v>14.92</v>
      </c>
      <c r="F70" s="379">
        <f t="shared" si="29"/>
        <v>-38892.919999999991</v>
      </c>
      <c r="G70" s="379">
        <f t="shared" si="30"/>
        <v>110180.68</v>
      </c>
      <c r="H70" s="380">
        <f t="shared" si="31"/>
        <v>-0.3529921942758022</v>
      </c>
      <c r="I70" s="379"/>
      <c r="O70" s="82">
        <v>0.94</v>
      </c>
      <c r="P70" s="82">
        <f t="shared" si="26"/>
        <v>15.190399999999999</v>
      </c>
    </row>
    <row r="71" spans="2:31" x14ac:dyDescent="0.25">
      <c r="B71" s="666">
        <v>42348</v>
      </c>
      <c r="C71" s="378">
        <v>4178</v>
      </c>
      <c r="D71" s="667">
        <v>24.23</v>
      </c>
      <c r="E71" s="379">
        <v>14.74</v>
      </c>
      <c r="F71" s="379">
        <f t="shared" si="29"/>
        <v>-39649.22</v>
      </c>
      <c r="G71" s="379">
        <f t="shared" si="30"/>
        <v>101232.94</v>
      </c>
      <c r="H71" s="380">
        <f t="shared" si="31"/>
        <v>-0.39166322740404458</v>
      </c>
      <c r="I71" s="379"/>
      <c r="O71" s="82">
        <v>0.93</v>
      </c>
      <c r="P71" s="82">
        <f t="shared" si="26"/>
        <v>15.0288</v>
      </c>
    </row>
    <row r="72" spans="2:31" x14ac:dyDescent="0.25">
      <c r="B72" s="666">
        <v>42349</v>
      </c>
      <c r="C72" s="378">
        <v>3678</v>
      </c>
      <c r="D72" s="667">
        <v>25.57</v>
      </c>
      <c r="E72" s="379">
        <v>14.34</v>
      </c>
      <c r="F72" s="379">
        <f t="shared" si="29"/>
        <v>-41303.94</v>
      </c>
      <c r="G72" s="379">
        <f t="shared" si="30"/>
        <v>94046.46</v>
      </c>
      <c r="H72" s="380">
        <f t="shared" si="31"/>
        <v>-0.43918654673445445</v>
      </c>
      <c r="I72" s="379"/>
      <c r="O72" s="82">
        <v>0.92</v>
      </c>
      <c r="P72" s="82">
        <f t="shared" si="26"/>
        <v>14.8672</v>
      </c>
    </row>
    <row r="73" spans="2:31" x14ac:dyDescent="0.25">
      <c r="B73" s="666">
        <v>42352</v>
      </c>
      <c r="C73" s="378">
        <v>4178</v>
      </c>
      <c r="D73" s="667">
        <v>24.18</v>
      </c>
      <c r="E73" s="379">
        <v>13.96</v>
      </c>
      <c r="F73" s="379">
        <f t="shared" si="29"/>
        <v>-42699.159999999996</v>
      </c>
      <c r="G73" s="379">
        <f t="shared" si="30"/>
        <v>101024.04</v>
      </c>
      <c r="H73" s="380">
        <f t="shared" si="31"/>
        <v>-0.42266335814722905</v>
      </c>
      <c r="I73" s="379"/>
      <c r="O73" s="82">
        <v>0.91</v>
      </c>
      <c r="P73" s="82">
        <f t="shared" si="26"/>
        <v>14.7056</v>
      </c>
    </row>
    <row r="74" spans="2:31" ht="15" customHeight="1" x14ac:dyDescent="0.25">
      <c r="B74" s="666">
        <v>42355</v>
      </c>
      <c r="C74" s="378">
        <v>4678</v>
      </c>
      <c r="D74" s="667">
        <v>22.98</v>
      </c>
      <c r="E74" s="379">
        <v>12.78</v>
      </c>
      <c r="F74" s="379">
        <f t="shared" si="29"/>
        <v>-47715.600000000006</v>
      </c>
      <c r="G74" s="379">
        <f t="shared" si="30"/>
        <v>107500.44</v>
      </c>
      <c r="H74" s="380">
        <f t="shared" si="31"/>
        <v>-0.44386422976501311</v>
      </c>
      <c r="I74" s="379"/>
      <c r="O74" s="82">
        <v>0.9</v>
      </c>
      <c r="P74" s="82">
        <f t="shared" si="26"/>
        <v>14.544</v>
      </c>
    </row>
    <row r="75" spans="2:31" x14ac:dyDescent="0.25">
      <c r="B75" s="666">
        <v>42356</v>
      </c>
      <c r="C75" s="378">
        <v>5178</v>
      </c>
      <c r="D75" s="667">
        <v>21.99</v>
      </c>
      <c r="E75" s="379">
        <v>12.95</v>
      </c>
      <c r="F75" s="379">
        <f t="shared" si="29"/>
        <v>-46809.119999999995</v>
      </c>
      <c r="G75" s="379">
        <f t="shared" si="30"/>
        <v>113864.21999999999</v>
      </c>
      <c r="H75" s="380">
        <f t="shared" si="31"/>
        <v>-0.41109595270577537</v>
      </c>
      <c r="I75" s="379"/>
      <c r="O75" s="82">
        <v>0.89</v>
      </c>
      <c r="P75" s="82">
        <f>O75*$Q$4</f>
        <v>14.382400000000001</v>
      </c>
    </row>
    <row r="76" spans="2:31" x14ac:dyDescent="0.25">
      <c r="B76" s="666">
        <v>42356</v>
      </c>
      <c r="C76" s="378">
        <v>6178</v>
      </c>
      <c r="D76" s="667">
        <v>20.48</v>
      </c>
      <c r="E76" s="379">
        <v>12.76</v>
      </c>
      <c r="F76" s="379">
        <f t="shared" si="29"/>
        <v>-47694.16</v>
      </c>
      <c r="G76" s="379">
        <f t="shared" si="30"/>
        <v>126525.44</v>
      </c>
      <c r="H76" s="380">
        <f t="shared" si="31"/>
        <v>-0.376953125</v>
      </c>
      <c r="I76" s="379"/>
      <c r="O76" s="82">
        <v>0.88</v>
      </c>
      <c r="P76" s="82">
        <f>O76*$Q$4</f>
        <v>14.220800000000001</v>
      </c>
    </row>
    <row r="77" spans="2:31" x14ac:dyDescent="0.25">
      <c r="B77" s="666">
        <v>42356</v>
      </c>
      <c r="C77" s="378">
        <v>6400</v>
      </c>
      <c r="D77" s="667">
        <v>20.2</v>
      </c>
      <c r="E77" s="379">
        <v>12.68</v>
      </c>
      <c r="F77" s="379">
        <f t="shared" si="29"/>
        <v>-48128</v>
      </c>
      <c r="G77" s="379">
        <f t="shared" si="30"/>
        <v>129280</v>
      </c>
      <c r="H77" s="380">
        <f t="shared" si="31"/>
        <v>-0.37227722772277227</v>
      </c>
      <c r="I77" s="379"/>
      <c r="O77" s="82">
        <v>0.87</v>
      </c>
      <c r="P77" s="82">
        <f>O77*$Q$4</f>
        <v>14.059200000000001</v>
      </c>
    </row>
    <row r="78" spans="2:31" x14ac:dyDescent="0.25">
      <c r="B78" s="666">
        <v>42359</v>
      </c>
      <c r="C78" s="378">
        <v>5178</v>
      </c>
      <c r="D78" s="667">
        <v>21.96</v>
      </c>
      <c r="E78" s="379">
        <v>12.66</v>
      </c>
      <c r="F78" s="379">
        <f t="shared" si="29"/>
        <v>-48155.4</v>
      </c>
      <c r="G78" s="379">
        <f t="shared" si="30"/>
        <v>113708.88</v>
      </c>
      <c r="H78" s="380">
        <f t="shared" si="31"/>
        <v>-0.42349726775956287</v>
      </c>
      <c r="I78" s="379"/>
      <c r="O78" s="82">
        <v>0.86</v>
      </c>
      <c r="P78" s="82">
        <f>O78*$Q$4</f>
        <v>13.897600000000001</v>
      </c>
    </row>
    <row r="79" spans="2:31" x14ac:dyDescent="0.25">
      <c r="B79" s="666">
        <v>42361</v>
      </c>
      <c r="C79" s="378">
        <v>4178</v>
      </c>
      <c r="D79" s="667">
        <v>24.07</v>
      </c>
      <c r="E79" s="379">
        <v>13.96</v>
      </c>
      <c r="F79" s="379">
        <f t="shared" si="29"/>
        <v>-42239.579999999994</v>
      </c>
      <c r="G79" s="379">
        <f t="shared" si="30"/>
        <v>100564.46</v>
      </c>
      <c r="H79" s="380">
        <f t="shared" si="31"/>
        <v>-0.42002492729538843</v>
      </c>
      <c r="I79" s="379"/>
      <c r="O79" s="82">
        <v>0.85</v>
      </c>
      <c r="P79" s="82">
        <f>O79*$Q$4</f>
        <v>13.735999999999999</v>
      </c>
    </row>
    <row r="80" spans="2:31" x14ac:dyDescent="0.25">
      <c r="B80" s="666">
        <v>42361</v>
      </c>
      <c r="C80" s="378">
        <v>4178</v>
      </c>
      <c r="D80" s="667">
        <v>24.03</v>
      </c>
      <c r="E80" s="379">
        <v>13.96</v>
      </c>
      <c r="F80" s="379">
        <f t="shared" si="29"/>
        <v>-42072.46</v>
      </c>
      <c r="G80" s="379">
        <f t="shared" si="30"/>
        <v>100397.34000000001</v>
      </c>
      <c r="H80" s="380">
        <f t="shared" si="31"/>
        <v>-0.41905950894714938</v>
      </c>
      <c r="I80" s="379"/>
    </row>
    <row r="81" spans="2:9" x14ac:dyDescent="0.25">
      <c r="B81" s="666">
        <v>42366</v>
      </c>
      <c r="C81" s="399">
        <v>6678</v>
      </c>
      <c r="D81" s="668">
        <v>19.91</v>
      </c>
      <c r="E81" s="379">
        <v>13.09</v>
      </c>
      <c r="F81" s="379">
        <f t="shared" si="29"/>
        <v>-45543.96</v>
      </c>
      <c r="G81" s="379">
        <f t="shared" si="30"/>
        <v>132958.98000000001</v>
      </c>
      <c r="H81" s="380">
        <f t="shared" si="31"/>
        <v>-0.34254143646408841</v>
      </c>
      <c r="I81" s="379"/>
    </row>
    <row r="82" spans="2:9" x14ac:dyDescent="0.25">
      <c r="B82" s="666">
        <v>42367</v>
      </c>
      <c r="C82" s="399">
        <v>8678</v>
      </c>
      <c r="D82" s="668">
        <v>18.32</v>
      </c>
      <c r="E82" s="379">
        <v>13.03</v>
      </c>
      <c r="F82" s="379">
        <f t="shared" si="29"/>
        <v>-45906.62000000001</v>
      </c>
      <c r="G82" s="379">
        <f t="shared" si="30"/>
        <v>158980.96</v>
      </c>
      <c r="H82" s="380">
        <f t="shared" si="31"/>
        <v>-0.28875545851528389</v>
      </c>
      <c r="I82" s="379"/>
    </row>
    <row r="83" spans="2:9" x14ac:dyDescent="0.25">
      <c r="B83" s="666">
        <v>42368</v>
      </c>
      <c r="C83" s="378">
        <v>9678</v>
      </c>
      <c r="D83" s="667">
        <v>17.73</v>
      </c>
      <c r="E83" s="379">
        <v>12.38</v>
      </c>
      <c r="F83" s="379">
        <f t="shared" si="29"/>
        <v>-51777.299999999996</v>
      </c>
      <c r="G83" s="379">
        <f t="shared" si="30"/>
        <v>171590.94</v>
      </c>
      <c r="H83" s="381">
        <f t="shared" si="31"/>
        <v>-0.30174844895657077</v>
      </c>
      <c r="I83" s="379"/>
    </row>
    <row r="84" spans="2:9" x14ac:dyDescent="0.25">
      <c r="B84" s="666">
        <v>42369</v>
      </c>
      <c r="C84" s="378">
        <v>8678</v>
      </c>
      <c r="D84" s="667">
        <v>18.312999999999999</v>
      </c>
      <c r="E84" s="379">
        <v>12.59</v>
      </c>
      <c r="F84" s="379">
        <f t="shared" si="29"/>
        <v>-49664.193999999989</v>
      </c>
      <c r="G84" s="379">
        <f t="shared" si="30"/>
        <v>158920.21399999998</v>
      </c>
      <c r="H84" s="381">
        <f t="shared" si="31"/>
        <v>-0.3125102386282968</v>
      </c>
      <c r="I84" s="379"/>
    </row>
    <row r="85" spans="2:9" x14ac:dyDescent="0.25">
      <c r="B85" s="666">
        <v>42374</v>
      </c>
      <c r="C85" s="378">
        <v>7678</v>
      </c>
      <c r="D85" s="667">
        <v>19.010000000000002</v>
      </c>
      <c r="E85" s="379">
        <v>12.76</v>
      </c>
      <c r="F85" s="379">
        <f t="shared" si="29"/>
        <v>-47987.500000000015</v>
      </c>
      <c r="G85" s="379">
        <f t="shared" si="30"/>
        <v>145958.78</v>
      </c>
      <c r="H85" s="381">
        <f t="shared" si="31"/>
        <v>-0.32877432930036832</v>
      </c>
      <c r="I85" s="379"/>
    </row>
    <row r="86" spans="2:9" x14ac:dyDescent="0.25">
      <c r="B86" s="666">
        <v>42375</v>
      </c>
      <c r="C86" s="378">
        <v>8678</v>
      </c>
      <c r="D86" s="667">
        <v>18.257000000000001</v>
      </c>
      <c r="E86" s="379">
        <v>12.76</v>
      </c>
      <c r="F86" s="379">
        <f t="shared" si="29"/>
        <v>-47702.966000000015</v>
      </c>
      <c r="G86" s="379">
        <f t="shared" si="30"/>
        <v>158434.24600000001</v>
      </c>
      <c r="H86" s="381">
        <f t="shared" si="31"/>
        <v>-0.30108999287944355</v>
      </c>
      <c r="I86" s="379"/>
    </row>
    <row r="87" spans="2:9" x14ac:dyDescent="0.25">
      <c r="B87" s="666">
        <v>42375</v>
      </c>
      <c r="C87" s="378">
        <v>9678</v>
      </c>
      <c r="D87" s="667">
        <v>17.579999999999998</v>
      </c>
      <c r="E87" s="379">
        <v>11.28</v>
      </c>
      <c r="F87" s="379">
        <f t="shared" si="29"/>
        <v>-60971.399999999987</v>
      </c>
      <c r="G87" s="379">
        <f t="shared" si="30"/>
        <v>170139.24</v>
      </c>
      <c r="H87" s="381">
        <f t="shared" si="31"/>
        <v>-0.35836177474402725</v>
      </c>
      <c r="I87" s="379"/>
    </row>
    <row r="88" spans="2:9" x14ac:dyDescent="0.25">
      <c r="B88" s="666">
        <v>42398</v>
      </c>
      <c r="C88" s="378">
        <v>9278</v>
      </c>
      <c r="D88" s="667">
        <v>17.93</v>
      </c>
      <c r="E88" s="379">
        <v>9.56</v>
      </c>
      <c r="F88" s="379">
        <f t="shared" si="29"/>
        <v>-77656.859999999986</v>
      </c>
      <c r="G88" s="379">
        <f t="shared" si="30"/>
        <v>166354.54</v>
      </c>
      <c r="H88" s="381">
        <f t="shared" si="31"/>
        <v>-0.46681539319576126</v>
      </c>
      <c r="I88" s="379"/>
    </row>
    <row r="89" spans="2:9" x14ac:dyDescent="0.25">
      <c r="B89" s="666">
        <v>42402</v>
      </c>
      <c r="C89" s="378">
        <v>9678</v>
      </c>
      <c r="D89" s="667">
        <v>17.559999999999999</v>
      </c>
      <c r="E89" s="379">
        <v>8.74</v>
      </c>
      <c r="F89" s="379">
        <f t="shared" si="29"/>
        <v>-85359.959999999992</v>
      </c>
      <c r="G89" s="379">
        <f t="shared" si="30"/>
        <v>169945.68</v>
      </c>
      <c r="H89" s="381">
        <f t="shared" si="31"/>
        <v>-0.50227790432801822</v>
      </c>
      <c r="I89" s="379"/>
    </row>
    <row r="90" spans="2:9" x14ac:dyDescent="0.25">
      <c r="B90" s="666">
        <v>42411</v>
      </c>
      <c r="C90" s="378">
        <v>9678</v>
      </c>
      <c r="D90" s="667">
        <v>17.553999999999998</v>
      </c>
      <c r="E90" s="379">
        <v>7.13</v>
      </c>
      <c r="F90" s="379">
        <f t="shared" si="29"/>
        <v>-100883.47199999999</v>
      </c>
      <c r="G90" s="379">
        <f t="shared" si="30"/>
        <v>169887.61199999999</v>
      </c>
      <c r="H90" s="380">
        <f t="shared" si="31"/>
        <v>-0.59382476928335426</v>
      </c>
      <c r="I90" s="379"/>
    </row>
    <row r="91" spans="2:9" x14ac:dyDescent="0.25">
      <c r="B91" s="666">
        <v>42412</v>
      </c>
      <c r="C91" s="378">
        <v>9678</v>
      </c>
      <c r="D91" s="667">
        <v>17.55</v>
      </c>
      <c r="E91" s="379">
        <v>7.46</v>
      </c>
      <c r="F91" s="379">
        <f t="shared" si="29"/>
        <v>-97651.02</v>
      </c>
      <c r="G91" s="379">
        <f t="shared" si="30"/>
        <v>169848.9</v>
      </c>
      <c r="H91" s="380">
        <f t="shared" si="31"/>
        <v>-0.57492877492877492</v>
      </c>
      <c r="I91" s="379"/>
    </row>
    <row r="92" spans="2:9" x14ac:dyDescent="0.25">
      <c r="B92" s="666">
        <v>42416</v>
      </c>
      <c r="C92" s="378">
        <v>9178</v>
      </c>
      <c r="D92" s="667">
        <v>18.084</v>
      </c>
      <c r="E92" s="379">
        <v>7.49</v>
      </c>
      <c r="F92" s="379">
        <f t="shared" si="29"/>
        <v>-97231.731999999989</v>
      </c>
      <c r="G92" s="379">
        <f t="shared" si="30"/>
        <v>165974.95199999999</v>
      </c>
      <c r="H92" s="380">
        <f t="shared" si="31"/>
        <v>-0.58582172085821715</v>
      </c>
      <c r="I92" s="379"/>
    </row>
    <row r="93" spans="2:9" x14ac:dyDescent="0.25">
      <c r="B93" s="666">
        <v>42416</v>
      </c>
      <c r="C93" s="378">
        <v>9678</v>
      </c>
      <c r="D93" s="667">
        <v>17.536999999999999</v>
      </c>
      <c r="E93" s="379">
        <v>7.49</v>
      </c>
      <c r="F93" s="379">
        <f t="shared" si="29"/>
        <v>-97234.865999999995</v>
      </c>
      <c r="G93" s="379">
        <f t="shared" si="30"/>
        <v>169723.08599999998</v>
      </c>
      <c r="H93" s="380">
        <f t="shared" si="31"/>
        <v>-0.57290300507498426</v>
      </c>
      <c r="I93" s="379"/>
    </row>
    <row r="94" spans="2:9" x14ac:dyDescent="0.25">
      <c r="B94" s="666">
        <v>42418</v>
      </c>
      <c r="C94" s="378">
        <v>13478</v>
      </c>
      <c r="D94" s="667">
        <v>14.673999999999999</v>
      </c>
      <c r="E94" s="379">
        <v>6.93</v>
      </c>
      <c r="F94" s="379">
        <f t="shared" si="29"/>
        <v>-104373.632</v>
      </c>
      <c r="G94" s="379">
        <f t="shared" si="30"/>
        <v>197776.17199999999</v>
      </c>
      <c r="H94" s="380">
        <f t="shared" si="31"/>
        <v>-0.52773613193403301</v>
      </c>
      <c r="I94" s="379"/>
    </row>
    <row r="95" spans="2:9" x14ac:dyDescent="0.25">
      <c r="B95" s="666">
        <v>42422</v>
      </c>
      <c r="C95" s="378">
        <v>10978</v>
      </c>
      <c r="D95" s="667">
        <v>16.314</v>
      </c>
      <c r="E95" s="379">
        <v>7.49</v>
      </c>
      <c r="F95" s="379">
        <f t="shared" si="29"/>
        <v>-96869.872000000003</v>
      </c>
      <c r="G95" s="379">
        <f>IF(C95=0, 0,D95*C95)</f>
        <v>179095.092</v>
      </c>
      <c r="H95" s="380">
        <f>IF(C95=0, D95, (E95-D95)/D95)</f>
        <v>-0.54088512933676591</v>
      </c>
      <c r="I95" s="379"/>
    </row>
    <row r="96" spans="2:9" x14ac:dyDescent="0.25">
      <c r="B96" s="666">
        <v>42422</v>
      </c>
      <c r="C96" s="378">
        <v>9978</v>
      </c>
      <c r="D96" s="667">
        <v>17.199000000000002</v>
      </c>
      <c r="E96" s="379">
        <v>7.49</v>
      </c>
      <c r="F96" s="379">
        <f t="shared" si="29"/>
        <v>-96876.402000000016</v>
      </c>
      <c r="G96" s="379">
        <f>IF(C96=0, 0,D96*C96)</f>
        <v>171611.622</v>
      </c>
      <c r="H96" s="380">
        <f>IF(C96=0, D96, (E96-D96)/D96)</f>
        <v>-0.56450956450956458</v>
      </c>
      <c r="I96" s="379"/>
    </row>
    <row r="97" spans="2:14" x14ac:dyDescent="0.25">
      <c r="B97" s="666">
        <v>42426</v>
      </c>
      <c r="C97" s="378">
        <v>9678</v>
      </c>
      <c r="D97" s="667">
        <v>17.489000000000001</v>
      </c>
      <c r="E97" s="379">
        <v>7.49</v>
      </c>
      <c r="F97" s="379">
        <f t="shared" ref="F97:F105" si="32">C97*(E97-D97)</f>
        <v>-96770.322</v>
      </c>
      <c r="G97" s="379">
        <f>IF(C97=0, 0,D97*C97)</f>
        <v>169258.54200000002</v>
      </c>
      <c r="H97" s="380">
        <f>IF(C97=0, D97, (E97-D97)/D97)</f>
        <v>-0.57173080221853734</v>
      </c>
      <c r="I97" s="379"/>
    </row>
    <row r="98" spans="2:14" x14ac:dyDescent="0.25">
      <c r="B98" s="666">
        <v>42426</v>
      </c>
      <c r="C98" s="378">
        <v>9178</v>
      </c>
      <c r="D98" s="667">
        <v>18.02</v>
      </c>
      <c r="E98" s="379">
        <v>7.76</v>
      </c>
      <c r="F98" s="379">
        <f t="shared" si="32"/>
        <v>-94166.28</v>
      </c>
      <c r="G98" s="379">
        <f t="shared" ref="G98:G105" si="33">IF(C98=0, 0,D98*C98)</f>
        <v>165387.56</v>
      </c>
      <c r="H98" s="380">
        <f t="shared" ref="H98:H105" si="34">IF(C98=0, D98, (E98-D98)/D98)</f>
        <v>-0.5693673695893452</v>
      </c>
      <c r="I98" s="379"/>
    </row>
    <row r="99" spans="2:14" x14ac:dyDescent="0.25">
      <c r="B99" s="666">
        <v>42426</v>
      </c>
      <c r="C99" s="378">
        <v>8178</v>
      </c>
      <c r="D99" s="667">
        <v>19.245999999999999</v>
      </c>
      <c r="E99" s="379">
        <v>8</v>
      </c>
      <c r="F99" s="379">
        <f t="shared" si="32"/>
        <v>-91969.787999999986</v>
      </c>
      <c r="G99" s="379">
        <f t="shared" si="33"/>
        <v>157393.788</v>
      </c>
      <c r="H99" s="380">
        <f t="shared" si="34"/>
        <v>-0.58432921126467829</v>
      </c>
      <c r="I99" s="379"/>
    </row>
    <row r="100" spans="2:14" x14ac:dyDescent="0.25">
      <c r="B100" s="666">
        <v>42426</v>
      </c>
      <c r="C100" s="378">
        <v>6678</v>
      </c>
      <c r="D100" s="667">
        <v>21.75</v>
      </c>
      <c r="E100" s="379">
        <v>8.1</v>
      </c>
      <c r="F100" s="379">
        <f t="shared" si="32"/>
        <v>-91154.7</v>
      </c>
      <c r="G100" s="379">
        <f t="shared" si="33"/>
        <v>145246.5</v>
      </c>
      <c r="H100" s="380">
        <f t="shared" si="34"/>
        <v>-0.62758620689655176</v>
      </c>
      <c r="I100" s="379"/>
    </row>
    <row r="101" spans="2:14" x14ac:dyDescent="0.25">
      <c r="B101" s="666">
        <v>42426</v>
      </c>
      <c r="C101" s="378">
        <v>8678</v>
      </c>
      <c r="D101" s="667">
        <v>18.568999999999999</v>
      </c>
      <c r="E101" s="379">
        <v>7.94</v>
      </c>
      <c r="F101" s="379">
        <f t="shared" si="32"/>
        <v>-92238.461999999985</v>
      </c>
      <c r="G101" s="379">
        <f t="shared" si="33"/>
        <v>161141.78199999998</v>
      </c>
      <c r="H101" s="380">
        <f t="shared" si="34"/>
        <v>-0.57240562227368186</v>
      </c>
      <c r="I101" s="379"/>
    </row>
    <row r="102" spans="2:14" x14ac:dyDescent="0.25">
      <c r="B102" s="666">
        <v>42429</v>
      </c>
      <c r="C102" s="378">
        <v>7678</v>
      </c>
      <c r="D102" s="667">
        <v>19.876000000000001</v>
      </c>
      <c r="E102" s="379">
        <v>8.2100000000000009</v>
      </c>
      <c r="F102" s="379">
        <f t="shared" si="32"/>
        <v>-89571.54800000001</v>
      </c>
      <c r="G102" s="379">
        <f t="shared" si="33"/>
        <v>152607.92800000001</v>
      </c>
      <c r="H102" s="380">
        <f t="shared" si="34"/>
        <v>-0.58693902193600322</v>
      </c>
      <c r="I102" s="379"/>
    </row>
    <row r="103" spans="2:14" x14ac:dyDescent="0.25">
      <c r="B103" s="666">
        <v>42429</v>
      </c>
      <c r="C103" s="378">
        <v>9678</v>
      </c>
      <c r="D103" s="667">
        <v>17.463000000000001</v>
      </c>
      <c r="E103" s="379">
        <v>8.2100000000000009</v>
      </c>
      <c r="F103" s="379">
        <f t="shared" si="32"/>
        <v>-89550.534</v>
      </c>
      <c r="G103" s="379">
        <f t="shared" si="33"/>
        <v>169006.91400000002</v>
      </c>
      <c r="H103" s="380">
        <f t="shared" si="34"/>
        <v>-0.5298631392086125</v>
      </c>
      <c r="I103" s="379"/>
    </row>
    <row r="104" spans="2:14" x14ac:dyDescent="0.25">
      <c r="B104" s="666">
        <v>42429</v>
      </c>
      <c r="C104" s="378">
        <v>9178</v>
      </c>
      <c r="D104" s="667">
        <v>17.981000000000002</v>
      </c>
      <c r="E104" s="379">
        <v>8.2100000000000009</v>
      </c>
      <c r="F104" s="379">
        <f t="shared" si="32"/>
        <v>-89678.238000000012</v>
      </c>
      <c r="G104" s="379">
        <f t="shared" si="33"/>
        <v>165029.61800000002</v>
      </c>
      <c r="H104" s="380">
        <f t="shared" si="34"/>
        <v>-0.5434069295367332</v>
      </c>
      <c r="I104" s="379"/>
    </row>
    <row r="105" spans="2:14" x14ac:dyDescent="0.25">
      <c r="B105" s="666">
        <v>42429</v>
      </c>
      <c r="C105" s="378">
        <v>9678</v>
      </c>
      <c r="D105" s="667">
        <v>17.459</v>
      </c>
      <c r="E105" s="379">
        <v>8.2100000000000009</v>
      </c>
      <c r="F105" s="379">
        <f t="shared" si="32"/>
        <v>-89511.821999999986</v>
      </c>
      <c r="G105" s="379">
        <f t="shared" si="33"/>
        <v>168968.20199999999</v>
      </c>
      <c r="H105" s="380">
        <f t="shared" si="34"/>
        <v>-0.5297554270004009</v>
      </c>
      <c r="I105" s="379"/>
    </row>
    <row r="106" spans="2:14" x14ac:dyDescent="0.25">
      <c r="B106" s="666">
        <v>42429</v>
      </c>
      <c r="C106" s="378">
        <v>9178</v>
      </c>
      <c r="D106" s="667">
        <v>17.975999999999999</v>
      </c>
      <c r="E106" s="379">
        <v>8.2100000000000009</v>
      </c>
      <c r="F106" s="379">
        <f t="shared" ref="F106:F117" si="35">C106*(E106-D106)</f>
        <v>-89632.347999999984</v>
      </c>
      <c r="G106" s="379">
        <f t="shared" ref="G106:G117" si="36">IF(C106=0, 0,D106*C106)</f>
        <v>164983.728</v>
      </c>
      <c r="H106" s="380">
        <f t="shared" ref="H106:H157" si="37">IF(C106=0, D106, (E106-D106)/D106)</f>
        <v>-0.54327992879394738</v>
      </c>
      <c r="I106" s="379" t="s">
        <v>189</v>
      </c>
    </row>
    <row r="107" spans="2:14" x14ac:dyDescent="0.25">
      <c r="B107" s="666">
        <v>42430</v>
      </c>
      <c r="C107" s="399">
        <v>10178</v>
      </c>
      <c r="D107" s="668">
        <v>16.974</v>
      </c>
      <c r="E107" s="379">
        <v>7.8</v>
      </c>
      <c r="F107" s="379">
        <f t="shared" si="35"/>
        <v>-93372.971999999994</v>
      </c>
      <c r="G107" s="379">
        <f t="shared" si="36"/>
        <v>172761.372</v>
      </c>
      <c r="H107" s="380">
        <f t="shared" si="37"/>
        <v>-0.54047366560622123</v>
      </c>
      <c r="I107" s="379"/>
    </row>
    <row r="108" spans="2:14" x14ac:dyDescent="0.25">
      <c r="B108" s="666">
        <v>42430</v>
      </c>
      <c r="C108" s="399">
        <v>9678</v>
      </c>
      <c r="D108" s="668">
        <v>17.440000000000001</v>
      </c>
      <c r="E108" s="379">
        <v>7.96</v>
      </c>
      <c r="F108" s="379">
        <f t="shared" si="35"/>
        <v>-91747.44</v>
      </c>
      <c r="G108" s="379">
        <f t="shared" si="36"/>
        <v>168784.32</v>
      </c>
      <c r="H108" s="380">
        <f t="shared" si="37"/>
        <v>-0.54357798165137616</v>
      </c>
      <c r="I108" s="379"/>
    </row>
    <row r="109" spans="2:14" x14ac:dyDescent="0.25">
      <c r="B109" s="666">
        <v>42431</v>
      </c>
      <c r="C109" s="378">
        <v>8678</v>
      </c>
      <c r="D109" s="667">
        <v>18.405999999999999</v>
      </c>
      <c r="E109" s="379">
        <v>9.1</v>
      </c>
      <c r="F109" s="379">
        <f t="shared" si="35"/>
        <v>-80757.467999999993</v>
      </c>
      <c r="G109" s="379">
        <f t="shared" si="36"/>
        <v>159727.26799999998</v>
      </c>
      <c r="H109" s="381">
        <f t="shared" si="37"/>
        <v>-0.50559600130392257</v>
      </c>
      <c r="I109" s="379"/>
    </row>
    <row r="110" spans="2:14" x14ac:dyDescent="0.25">
      <c r="B110" s="666">
        <v>42432</v>
      </c>
      <c r="C110" s="378">
        <v>9278</v>
      </c>
      <c r="D110" s="667">
        <v>17.771999999999998</v>
      </c>
      <c r="E110" s="379">
        <v>9.9700000000000006</v>
      </c>
      <c r="F110" s="379">
        <f t="shared" si="35"/>
        <v>-72386.955999999976</v>
      </c>
      <c r="G110" s="379">
        <f t="shared" si="36"/>
        <v>164888.61599999998</v>
      </c>
      <c r="H110" s="381">
        <f t="shared" si="37"/>
        <v>-0.43900517668242173</v>
      </c>
      <c r="I110" s="379"/>
      <c r="N110" s="71"/>
    </row>
    <row r="111" spans="2:14" x14ac:dyDescent="0.25">
      <c r="B111" s="666">
        <v>42433</v>
      </c>
      <c r="C111" s="378">
        <v>9278</v>
      </c>
      <c r="D111" s="667">
        <v>17.771999999999998</v>
      </c>
      <c r="E111" s="379">
        <v>11</v>
      </c>
      <c r="F111" s="379">
        <f t="shared" si="35"/>
        <v>-62830.615999999987</v>
      </c>
      <c r="G111" s="379">
        <f t="shared" si="36"/>
        <v>164888.61599999998</v>
      </c>
      <c r="H111" s="381">
        <f t="shared" si="37"/>
        <v>-0.38104884087328378</v>
      </c>
      <c r="I111" s="379"/>
    </row>
    <row r="112" spans="2:14" x14ac:dyDescent="0.25">
      <c r="B112" s="666">
        <v>42439</v>
      </c>
      <c r="C112" s="378">
        <v>9278</v>
      </c>
      <c r="D112" s="667">
        <v>17.718</v>
      </c>
      <c r="E112" s="379">
        <v>10.59</v>
      </c>
      <c r="F112" s="379">
        <f t="shared" si="35"/>
        <v>-66133.584000000003</v>
      </c>
      <c r="G112" s="379">
        <f t="shared" si="36"/>
        <v>164387.60399999999</v>
      </c>
      <c r="H112" s="381">
        <f t="shared" si="37"/>
        <v>-0.40230274297324753</v>
      </c>
      <c r="I112" s="379" t="s">
        <v>188</v>
      </c>
    </row>
    <row r="113" spans="2:9" x14ac:dyDescent="0.25">
      <c r="B113" s="666">
        <v>42440</v>
      </c>
      <c r="C113" s="378">
        <v>9278</v>
      </c>
      <c r="D113" s="667">
        <v>17.712</v>
      </c>
      <c r="E113" s="379">
        <v>11.12</v>
      </c>
      <c r="F113" s="379">
        <f t="shared" si="35"/>
        <v>-61160.576000000008</v>
      </c>
      <c r="G113" s="379">
        <f t="shared" si="36"/>
        <v>164331.93599999999</v>
      </c>
      <c r="H113" s="381">
        <f t="shared" si="37"/>
        <v>-0.37217705510388438</v>
      </c>
      <c r="I113" s="379"/>
    </row>
    <row r="114" spans="2:9" x14ac:dyDescent="0.25">
      <c r="B114" s="666">
        <v>42446</v>
      </c>
      <c r="C114" s="378">
        <v>9278</v>
      </c>
      <c r="D114" s="667">
        <v>17.704999999999998</v>
      </c>
      <c r="E114" s="379">
        <v>11.45</v>
      </c>
      <c r="F114" s="379">
        <f t="shared" si="35"/>
        <v>-58033.889999999992</v>
      </c>
      <c r="G114" s="379">
        <f t="shared" si="36"/>
        <v>164266.99</v>
      </c>
      <c r="H114" s="381">
        <f t="shared" si="37"/>
        <v>-0.353290031064671</v>
      </c>
      <c r="I114" s="379"/>
    </row>
    <row r="115" spans="2:9" x14ac:dyDescent="0.25">
      <c r="B115" s="666">
        <v>42447</v>
      </c>
      <c r="C115" s="378">
        <v>7928</v>
      </c>
      <c r="D115" s="667">
        <v>18.734999999999999</v>
      </c>
      <c r="E115" s="379">
        <v>11.63</v>
      </c>
      <c r="F115" s="379">
        <f t="shared" si="35"/>
        <v>-56328.439999999988</v>
      </c>
      <c r="G115" s="379">
        <f t="shared" si="36"/>
        <v>148531.07999999999</v>
      </c>
      <c r="H115" s="381">
        <f t="shared" si="37"/>
        <v>-0.37923672271150249</v>
      </c>
      <c r="I115" s="379"/>
    </row>
    <row r="116" spans="2:9" x14ac:dyDescent="0.25">
      <c r="B116" s="666">
        <v>42450</v>
      </c>
      <c r="C116" s="378">
        <v>9278</v>
      </c>
      <c r="D116" s="667">
        <v>17.670000000000002</v>
      </c>
      <c r="E116" s="379">
        <v>11.43</v>
      </c>
      <c r="F116" s="379">
        <f t="shared" si="35"/>
        <v>-57894.720000000016</v>
      </c>
      <c r="G116" s="379">
        <f t="shared" si="36"/>
        <v>163942.26</v>
      </c>
      <c r="H116" s="380">
        <f t="shared" si="37"/>
        <v>-0.35314091680814946</v>
      </c>
      <c r="I116" s="379"/>
    </row>
    <row r="117" spans="2:9" x14ac:dyDescent="0.25">
      <c r="B117" s="666">
        <v>42451</v>
      </c>
      <c r="C117" s="378">
        <v>9628</v>
      </c>
      <c r="D117" s="667">
        <v>17.428000000000001</v>
      </c>
      <c r="E117" s="379">
        <v>11.31</v>
      </c>
      <c r="F117" s="379">
        <f t="shared" si="35"/>
        <v>-58904.104000000007</v>
      </c>
      <c r="G117" s="379">
        <f t="shared" si="36"/>
        <v>167796.78400000001</v>
      </c>
      <c r="H117" s="380">
        <f t="shared" si="37"/>
        <v>-0.35104429653431263</v>
      </c>
      <c r="I117" s="379"/>
    </row>
    <row r="118" spans="2:9" x14ac:dyDescent="0.25">
      <c r="B118" s="666">
        <v>42453</v>
      </c>
      <c r="C118" s="378">
        <v>13278</v>
      </c>
      <c r="D118" s="667">
        <v>15.5565</v>
      </c>
      <c r="E118" s="379">
        <v>10.29</v>
      </c>
      <c r="F118" s="379">
        <f t="shared" ref="F118:F157" si="38">C118*(E118-D118)</f>
        <v>-69928.587000000014</v>
      </c>
      <c r="G118" s="379">
        <f t="shared" ref="G118:G157" si="39">IF(C118=0, 0,D118*C118)</f>
        <v>206559.20699999999</v>
      </c>
      <c r="H118" s="380">
        <f t="shared" si="37"/>
        <v>-0.33854016006171056</v>
      </c>
      <c r="I118" s="379"/>
    </row>
    <row r="119" spans="2:9" x14ac:dyDescent="0.25">
      <c r="B119" s="666">
        <v>42459</v>
      </c>
      <c r="C119" s="378">
        <v>11278</v>
      </c>
      <c r="D119" s="667">
        <v>16.408899999999999</v>
      </c>
      <c r="E119" s="379">
        <v>10.53</v>
      </c>
      <c r="F119" s="379">
        <f t="shared" si="38"/>
        <v>-66302.234199999992</v>
      </c>
      <c r="G119" s="379">
        <f t="shared" si="39"/>
        <v>185059.5742</v>
      </c>
      <c r="H119" s="380">
        <f t="shared" si="37"/>
        <v>-0.35827508242478168</v>
      </c>
      <c r="I119" s="379"/>
    </row>
    <row r="120" spans="2:9" x14ac:dyDescent="0.25">
      <c r="B120" s="666">
        <v>42460</v>
      </c>
      <c r="C120" s="378">
        <v>9678</v>
      </c>
      <c r="D120" s="667">
        <v>17.311699999999998</v>
      </c>
      <c r="E120" s="379">
        <v>11.14</v>
      </c>
      <c r="F120" s="379">
        <f t="shared" si="38"/>
        <v>-59729.712599999977</v>
      </c>
      <c r="G120" s="379">
        <f t="shared" si="39"/>
        <v>167542.63259999998</v>
      </c>
      <c r="H120" s="380">
        <f t="shared" si="37"/>
        <v>-0.35650456049954643</v>
      </c>
      <c r="I120" s="379"/>
    </row>
    <row r="121" spans="2:9" x14ac:dyDescent="0.25">
      <c r="B121" s="666">
        <v>42461</v>
      </c>
      <c r="C121" s="378">
        <v>11678</v>
      </c>
      <c r="D121" s="667">
        <v>16.116</v>
      </c>
      <c r="E121" s="379">
        <v>10.53</v>
      </c>
      <c r="F121" s="379">
        <f t="shared" si="38"/>
        <v>-65233.308000000005</v>
      </c>
      <c r="G121" s="379">
        <f t="shared" si="39"/>
        <v>188202.64799999999</v>
      </c>
      <c r="H121" s="380">
        <f t="shared" si="37"/>
        <v>-0.34661206254653765</v>
      </c>
      <c r="I121" s="379"/>
    </row>
    <row r="122" spans="2:9" x14ac:dyDescent="0.25">
      <c r="B122" s="666">
        <v>42461</v>
      </c>
      <c r="C122" s="378">
        <v>9678</v>
      </c>
      <c r="D122" s="667">
        <v>17.266200000000001</v>
      </c>
      <c r="E122" s="379">
        <v>10.56</v>
      </c>
      <c r="F122" s="379">
        <f t="shared" si="38"/>
        <v>-64902.603600000009</v>
      </c>
      <c r="G122" s="379">
        <f t="shared" si="39"/>
        <v>167102.28360000002</v>
      </c>
      <c r="H122" s="380">
        <f t="shared" si="37"/>
        <v>-0.388400458699656</v>
      </c>
      <c r="I122" s="379"/>
    </row>
    <row r="123" spans="2:9" x14ac:dyDescent="0.25">
      <c r="B123" s="666">
        <v>42464</v>
      </c>
      <c r="C123" s="378">
        <v>9778</v>
      </c>
      <c r="D123" s="667">
        <v>17.196100000000001</v>
      </c>
      <c r="E123" s="379">
        <v>10.4</v>
      </c>
      <c r="F123" s="379">
        <f t="shared" si="38"/>
        <v>-66452.265800000008</v>
      </c>
      <c r="G123" s="379">
        <f t="shared" si="39"/>
        <v>168143.46580000001</v>
      </c>
      <c r="H123" s="380">
        <f t="shared" si="37"/>
        <v>-0.3952117049796175</v>
      </c>
      <c r="I123" s="379"/>
    </row>
    <row r="124" spans="2:9" x14ac:dyDescent="0.25">
      <c r="B124" s="666">
        <v>42465</v>
      </c>
      <c r="C124" s="378">
        <v>9678</v>
      </c>
      <c r="D124" s="667">
        <v>17.262699999999999</v>
      </c>
      <c r="E124" s="379">
        <v>10.63</v>
      </c>
      <c r="F124" s="379">
        <f t="shared" si="38"/>
        <v>-64191.270599999982</v>
      </c>
      <c r="G124" s="379">
        <f t="shared" si="39"/>
        <v>167068.4106</v>
      </c>
      <c r="H124" s="380">
        <f t="shared" si="37"/>
        <v>-0.38422147172806098</v>
      </c>
      <c r="I124" s="379"/>
    </row>
    <row r="125" spans="2:9" x14ac:dyDescent="0.25">
      <c r="B125" s="666">
        <v>42469</v>
      </c>
      <c r="C125" s="378">
        <v>8678</v>
      </c>
      <c r="D125" s="667">
        <v>17.895700000000001</v>
      </c>
      <c r="E125" s="379">
        <v>11.78</v>
      </c>
      <c r="F125" s="379">
        <f t="shared" si="38"/>
        <v>-53072.044600000016</v>
      </c>
      <c r="G125" s="379">
        <f t="shared" si="39"/>
        <v>155298.88460000002</v>
      </c>
      <c r="H125" s="380">
        <f t="shared" si="37"/>
        <v>-0.34174131215878684</v>
      </c>
      <c r="I125" s="379"/>
    </row>
    <row r="126" spans="2:9" x14ac:dyDescent="0.25">
      <c r="B126" s="666">
        <v>42471</v>
      </c>
      <c r="C126" s="378">
        <v>9678</v>
      </c>
      <c r="D126" s="667">
        <v>17.2514</v>
      </c>
      <c r="E126" s="379">
        <v>11.67</v>
      </c>
      <c r="F126" s="379">
        <f t="shared" si="38"/>
        <v>-54016.789200000007</v>
      </c>
      <c r="G126" s="379">
        <f t="shared" si="39"/>
        <v>166959.04920000001</v>
      </c>
      <c r="H126" s="380">
        <f t="shared" si="37"/>
        <v>-0.32353316252593994</v>
      </c>
      <c r="I126" s="379"/>
    </row>
    <row r="127" spans="2:9" x14ac:dyDescent="0.25">
      <c r="B127" s="666">
        <v>42472</v>
      </c>
      <c r="C127" s="378">
        <v>8288</v>
      </c>
      <c r="D127" s="667">
        <v>17.96</v>
      </c>
      <c r="E127" s="379">
        <v>13.05</v>
      </c>
      <c r="F127" s="379">
        <f t="shared" si="38"/>
        <v>-40694.080000000002</v>
      </c>
      <c r="G127" s="379">
        <f t="shared" si="39"/>
        <v>148852.48000000001</v>
      </c>
      <c r="H127" s="380">
        <f t="shared" si="37"/>
        <v>-0.27338530066815142</v>
      </c>
      <c r="I127" s="379"/>
    </row>
    <row r="128" spans="2:9" x14ac:dyDescent="0.25">
      <c r="B128" s="666">
        <v>42473</v>
      </c>
      <c r="C128" s="378">
        <v>9258</v>
      </c>
      <c r="D128" s="667">
        <v>17.415800000000001</v>
      </c>
      <c r="E128" s="379">
        <v>12.92</v>
      </c>
      <c r="F128" s="379">
        <f t="shared" si="38"/>
        <v>-41622.116400000006</v>
      </c>
      <c r="G128" s="379">
        <f t="shared" si="39"/>
        <v>161235.47640000001</v>
      </c>
      <c r="H128" s="380">
        <f t="shared" si="37"/>
        <v>-0.2581449029042594</v>
      </c>
      <c r="I128" s="379"/>
    </row>
    <row r="129" spans="2:9" x14ac:dyDescent="0.25">
      <c r="B129" s="666">
        <v>42474</v>
      </c>
      <c r="C129" s="378">
        <v>9678</v>
      </c>
      <c r="D129" s="667">
        <v>17.2135</v>
      </c>
      <c r="E129" s="379">
        <v>13.11</v>
      </c>
      <c r="F129" s="379">
        <f t="shared" si="38"/>
        <v>-39713.673000000003</v>
      </c>
      <c r="G129" s="379">
        <f t="shared" si="39"/>
        <v>166592.253</v>
      </c>
      <c r="H129" s="380">
        <f t="shared" si="37"/>
        <v>-0.23838847416272113</v>
      </c>
      <c r="I129" s="379"/>
    </row>
    <row r="130" spans="2:9" x14ac:dyDescent="0.25">
      <c r="B130" s="666">
        <v>42474</v>
      </c>
      <c r="C130" s="378">
        <v>9178</v>
      </c>
      <c r="D130" s="667">
        <v>17.433299999999999</v>
      </c>
      <c r="E130" s="379">
        <v>13.11</v>
      </c>
      <c r="F130" s="379">
        <f t="shared" si="38"/>
        <v>-39679.2474</v>
      </c>
      <c r="G130" s="379">
        <f t="shared" si="39"/>
        <v>160002.82739999998</v>
      </c>
      <c r="H130" s="380">
        <f t="shared" si="37"/>
        <v>-0.24799091394056202</v>
      </c>
      <c r="I130" s="379"/>
    </row>
    <row r="131" spans="2:9" x14ac:dyDescent="0.25">
      <c r="B131" s="666">
        <v>42475</v>
      </c>
      <c r="C131" s="378">
        <v>9678</v>
      </c>
      <c r="D131" s="667">
        <v>17.205100000000002</v>
      </c>
      <c r="E131" s="379">
        <v>13.01</v>
      </c>
      <c r="F131" s="379">
        <f t="shared" si="38"/>
        <v>-40600.177800000019</v>
      </c>
      <c r="G131" s="379">
        <f t="shared" si="39"/>
        <v>166510.9578</v>
      </c>
      <c r="H131" s="380">
        <f t="shared" si="37"/>
        <v>-0.24382886469709572</v>
      </c>
      <c r="I131" s="379"/>
    </row>
    <row r="132" spans="2:9" x14ac:dyDescent="0.25">
      <c r="B132" s="666">
        <v>42478</v>
      </c>
      <c r="C132" s="378">
        <v>9178</v>
      </c>
      <c r="D132" s="667">
        <v>17.412400000000002</v>
      </c>
      <c r="E132" s="379">
        <v>13.36</v>
      </c>
      <c r="F132" s="379">
        <f t="shared" si="38"/>
        <v>-37192.92720000002</v>
      </c>
      <c r="G132" s="379">
        <f t="shared" si="39"/>
        <v>159811.00720000002</v>
      </c>
      <c r="H132" s="380">
        <f t="shared" si="37"/>
        <v>-0.232730697663734</v>
      </c>
      <c r="I132" s="379"/>
    </row>
    <row r="133" spans="2:9" x14ac:dyDescent="0.25">
      <c r="B133" s="666">
        <v>42484</v>
      </c>
      <c r="C133" s="399">
        <v>9178</v>
      </c>
      <c r="D133" s="668">
        <v>17.412400000000002</v>
      </c>
      <c r="E133" s="379">
        <v>14.34</v>
      </c>
      <c r="F133" s="379">
        <f t="shared" si="38"/>
        <v>-28198.487200000018</v>
      </c>
      <c r="G133" s="379">
        <f t="shared" si="39"/>
        <v>159811.00720000002</v>
      </c>
      <c r="H133" s="380">
        <f t="shared" si="37"/>
        <v>-0.17644896740254082</v>
      </c>
      <c r="I133" s="379"/>
    </row>
    <row r="134" spans="2:9" x14ac:dyDescent="0.25">
      <c r="B134" s="666">
        <v>42485</v>
      </c>
      <c r="C134" s="399">
        <v>9678</v>
      </c>
      <c r="D134" s="668">
        <v>17.233499999999999</v>
      </c>
      <c r="E134" s="379">
        <v>13.83</v>
      </c>
      <c r="F134" s="379">
        <f t="shared" si="38"/>
        <v>-32939.072999999997</v>
      </c>
      <c r="G134" s="379">
        <f t="shared" si="39"/>
        <v>166785.81299999999</v>
      </c>
      <c r="H134" s="380">
        <f t="shared" si="37"/>
        <v>-0.19749325441726867</v>
      </c>
      <c r="I134" s="379"/>
    </row>
    <row r="135" spans="2:9" x14ac:dyDescent="0.25">
      <c r="B135" s="666">
        <v>42486</v>
      </c>
      <c r="C135" s="378">
        <v>9178</v>
      </c>
      <c r="D135" s="667">
        <v>17.390599999999999</v>
      </c>
      <c r="E135" s="379">
        <v>14.44</v>
      </c>
      <c r="F135" s="379">
        <f t="shared" si="38"/>
        <v>-27080.606799999998</v>
      </c>
      <c r="G135" s="379">
        <f t="shared" si="39"/>
        <v>159610.92679999999</v>
      </c>
      <c r="H135" s="381">
        <f t="shared" si="37"/>
        <v>-0.16966637148804525</v>
      </c>
      <c r="I135" s="379"/>
    </row>
    <row r="136" spans="2:9" x14ac:dyDescent="0.25">
      <c r="B136" s="666">
        <v>42487</v>
      </c>
      <c r="C136" s="378">
        <v>9178</v>
      </c>
      <c r="D136" s="667">
        <v>17.376300000000001</v>
      </c>
      <c r="E136" s="379">
        <v>14.84</v>
      </c>
      <c r="F136" s="379">
        <f t="shared" si="38"/>
        <v>-23278.161400000005</v>
      </c>
      <c r="G136" s="379">
        <f t="shared" si="39"/>
        <v>159479.6814</v>
      </c>
      <c r="H136" s="381">
        <f t="shared" si="37"/>
        <v>-0.14596317973331496</v>
      </c>
      <c r="I136" s="379"/>
    </row>
    <row r="137" spans="2:9" ht="15" customHeight="1" x14ac:dyDescent="0.25">
      <c r="B137" s="666">
        <v>42488</v>
      </c>
      <c r="C137" s="378">
        <v>9678</v>
      </c>
      <c r="D137" s="667">
        <v>17.2287</v>
      </c>
      <c r="E137" s="379">
        <v>14.35</v>
      </c>
      <c r="F137" s="379">
        <f t="shared" si="38"/>
        <v>-27860.058600000004</v>
      </c>
      <c r="G137" s="379">
        <f t="shared" si="39"/>
        <v>166739.35860000001</v>
      </c>
      <c r="H137" s="381">
        <f t="shared" si="37"/>
        <v>-0.16708747612994598</v>
      </c>
      <c r="I137" s="379"/>
    </row>
    <row r="138" spans="2:9" x14ac:dyDescent="0.25">
      <c r="B138" s="666">
        <v>42489</v>
      </c>
      <c r="C138" s="378">
        <v>9678</v>
      </c>
      <c r="D138" s="667">
        <v>17.179200000000002</v>
      </c>
      <c r="E138" s="379">
        <v>14.09</v>
      </c>
      <c r="F138" s="379">
        <f t="shared" si="38"/>
        <v>-29897.277600000016</v>
      </c>
      <c r="G138" s="379">
        <f t="shared" si="39"/>
        <v>166260.29760000002</v>
      </c>
      <c r="H138" s="381">
        <f t="shared" si="37"/>
        <v>-0.17982211045916</v>
      </c>
      <c r="I138" s="379"/>
    </row>
    <row r="139" spans="2:9" x14ac:dyDescent="0.25">
      <c r="B139" s="666">
        <v>42492</v>
      </c>
      <c r="C139" s="378">
        <v>9678</v>
      </c>
      <c r="D139" s="667">
        <v>17.136399999999998</v>
      </c>
      <c r="E139" s="379">
        <v>13.55</v>
      </c>
      <c r="F139" s="379">
        <f t="shared" si="38"/>
        <v>-34709.179199999977</v>
      </c>
      <c r="G139" s="379">
        <f t="shared" si="39"/>
        <v>165846.07919999998</v>
      </c>
      <c r="H139" s="381">
        <f t="shared" si="37"/>
        <v>-0.20928549753740563</v>
      </c>
      <c r="I139" s="379"/>
    </row>
    <row r="140" spans="2:9" x14ac:dyDescent="0.25">
      <c r="B140" s="666">
        <v>42493</v>
      </c>
      <c r="C140" s="378">
        <v>9678</v>
      </c>
      <c r="D140" s="667">
        <v>17.1221</v>
      </c>
      <c r="E140" s="379">
        <v>12.79</v>
      </c>
      <c r="F140" s="379">
        <f t="shared" si="38"/>
        <v>-41926.063800000004</v>
      </c>
      <c r="G140" s="379">
        <f t="shared" si="39"/>
        <v>165707.6838</v>
      </c>
      <c r="H140" s="381">
        <f t="shared" si="37"/>
        <v>-0.25301218892542388</v>
      </c>
      <c r="I140" s="379"/>
    </row>
    <row r="141" spans="2:9" x14ac:dyDescent="0.25">
      <c r="B141" s="666">
        <v>42494</v>
      </c>
      <c r="C141" s="378">
        <v>11678</v>
      </c>
      <c r="D141" s="667">
        <v>16.316800000000001</v>
      </c>
      <c r="E141" s="379">
        <v>12.17</v>
      </c>
      <c r="F141" s="379">
        <f t="shared" si="38"/>
        <v>-48426.330400000006</v>
      </c>
      <c r="G141" s="379">
        <f t="shared" si="39"/>
        <v>190547.59040000002</v>
      </c>
      <c r="H141" s="381">
        <f t="shared" si="37"/>
        <v>-0.25414296920964896</v>
      </c>
      <c r="I141" s="379"/>
    </row>
    <row r="142" spans="2:9" x14ac:dyDescent="0.25">
      <c r="B142" s="666">
        <v>42495</v>
      </c>
      <c r="C142" s="378">
        <v>9678</v>
      </c>
      <c r="D142" s="667">
        <v>17.0684</v>
      </c>
      <c r="E142" s="379">
        <v>12.07</v>
      </c>
      <c r="F142" s="379">
        <f t="shared" si="38"/>
        <v>-48374.515200000002</v>
      </c>
      <c r="G142" s="379">
        <f t="shared" si="39"/>
        <v>165187.97520000002</v>
      </c>
      <c r="H142" s="380">
        <f t="shared" si="37"/>
        <v>-0.29284525790349419</v>
      </c>
      <c r="I142" s="379"/>
    </row>
    <row r="143" spans="2:9" x14ac:dyDescent="0.25">
      <c r="B143" s="666">
        <v>42499</v>
      </c>
      <c r="C143" s="378">
        <v>10678</v>
      </c>
      <c r="D143" s="667">
        <v>16.537600000000001</v>
      </c>
      <c r="E143" s="379">
        <v>11.44</v>
      </c>
      <c r="F143" s="379">
        <f t="shared" si="38"/>
        <v>-54432.172800000015</v>
      </c>
      <c r="G143" s="379">
        <f t="shared" si="39"/>
        <v>176588.49280000001</v>
      </c>
      <c r="H143" s="380">
        <f t="shared" si="37"/>
        <v>-0.30824303405572762</v>
      </c>
      <c r="I143" s="379"/>
    </row>
    <row r="144" spans="2:9" x14ac:dyDescent="0.25">
      <c r="B144" s="666">
        <v>42500</v>
      </c>
      <c r="C144" s="378">
        <v>9678</v>
      </c>
      <c r="D144" s="667">
        <v>17.042100000000001</v>
      </c>
      <c r="E144" s="379">
        <v>11.94</v>
      </c>
      <c r="F144" s="379">
        <f t="shared" si="38"/>
        <v>-49378.123800000016</v>
      </c>
      <c r="G144" s="379">
        <f t="shared" si="39"/>
        <v>164933.44380000001</v>
      </c>
      <c r="H144" s="380">
        <f t="shared" si="37"/>
        <v>-0.2993821184009014</v>
      </c>
      <c r="I144" s="379"/>
    </row>
    <row r="145" spans="2:14" x14ac:dyDescent="0.25">
      <c r="B145" s="666">
        <v>42502</v>
      </c>
      <c r="C145" s="378">
        <v>10678</v>
      </c>
      <c r="D145" s="667">
        <v>16.601800000000001</v>
      </c>
      <c r="E145" s="379">
        <v>12.33</v>
      </c>
      <c r="F145" s="379">
        <f t="shared" si="38"/>
        <v>-45614.280400000011</v>
      </c>
      <c r="G145" s="379">
        <f t="shared" si="39"/>
        <v>177274.02040000001</v>
      </c>
      <c r="H145" s="380">
        <f t="shared" si="37"/>
        <v>-0.25730944837306802</v>
      </c>
      <c r="I145" s="379"/>
    </row>
    <row r="146" spans="2:14" x14ac:dyDescent="0.25">
      <c r="B146" s="666">
        <v>42502</v>
      </c>
      <c r="C146" s="378">
        <v>9678</v>
      </c>
      <c r="D146" s="667">
        <v>17.0334</v>
      </c>
      <c r="E146" s="379">
        <v>12.33</v>
      </c>
      <c r="F146" s="379">
        <f t="shared" si="38"/>
        <v>-45519.5052</v>
      </c>
      <c r="G146" s="379">
        <f t="shared" si="39"/>
        <v>164849.2452</v>
      </c>
      <c r="H146" s="380">
        <f t="shared" si="37"/>
        <v>-0.27612807777660364</v>
      </c>
      <c r="I146" s="379"/>
    </row>
    <row r="147" spans="2:14" x14ac:dyDescent="0.25">
      <c r="B147" s="666">
        <v>42503</v>
      </c>
      <c r="C147" s="378">
        <v>9678</v>
      </c>
      <c r="D147" s="667">
        <v>17.029299999999999</v>
      </c>
      <c r="E147" s="379">
        <v>12.3</v>
      </c>
      <c r="F147" s="379">
        <f t="shared" si="38"/>
        <v>-45770.165399999983</v>
      </c>
      <c r="G147" s="379">
        <f t="shared" si="39"/>
        <v>164809.56539999999</v>
      </c>
      <c r="H147" s="380">
        <f t="shared" si="37"/>
        <v>-0.27771546687180321</v>
      </c>
      <c r="I147" s="379"/>
    </row>
    <row r="148" spans="2:14" x14ac:dyDescent="0.25">
      <c r="B148" s="666">
        <v>42506</v>
      </c>
      <c r="C148" s="378">
        <v>9678</v>
      </c>
      <c r="D148" s="667">
        <v>17.027699999999999</v>
      </c>
      <c r="E148" s="379">
        <v>12.78</v>
      </c>
      <c r="F148" s="379">
        <f t="shared" si="38"/>
        <v>-41109.240599999997</v>
      </c>
      <c r="G148" s="379">
        <f t="shared" si="39"/>
        <v>164794.08059999999</v>
      </c>
      <c r="H148" s="380">
        <f t="shared" si="37"/>
        <v>-0.24945823569830336</v>
      </c>
      <c r="I148" s="379"/>
    </row>
    <row r="149" spans="2:14" x14ac:dyDescent="0.25">
      <c r="B149" s="666">
        <v>42513</v>
      </c>
      <c r="C149" s="378">
        <v>9178</v>
      </c>
      <c r="D149" s="667">
        <v>17.244399999999999</v>
      </c>
      <c r="E149" s="379">
        <v>13.19</v>
      </c>
      <c r="F149" s="379">
        <f t="shared" si="38"/>
        <v>-37211.283199999991</v>
      </c>
      <c r="G149" s="379">
        <f t="shared" si="39"/>
        <v>158269.10319999998</v>
      </c>
      <c r="H149" s="380">
        <f t="shared" si="37"/>
        <v>-0.23511400802579385</v>
      </c>
      <c r="I149" s="379"/>
    </row>
    <row r="150" spans="2:14" x14ac:dyDescent="0.25">
      <c r="B150" s="666">
        <v>42514</v>
      </c>
      <c r="C150" s="378">
        <v>9678</v>
      </c>
      <c r="D150" s="667">
        <v>17.026</v>
      </c>
      <c r="E150" s="379">
        <v>13.02</v>
      </c>
      <c r="F150" s="379">
        <f t="shared" si="38"/>
        <v>-38770.067999999999</v>
      </c>
      <c r="G150" s="379">
        <f t="shared" si="39"/>
        <v>164777.628</v>
      </c>
      <c r="H150" s="380">
        <f t="shared" si="37"/>
        <v>-0.23528720779983556</v>
      </c>
      <c r="I150" s="379"/>
    </row>
    <row r="151" spans="2:14" ht="15" customHeight="1" x14ac:dyDescent="0.25">
      <c r="B151" s="666">
        <v>42515</v>
      </c>
      <c r="C151" s="378">
        <v>9178</v>
      </c>
      <c r="D151" s="667">
        <v>17.206800000000001</v>
      </c>
      <c r="E151" s="379">
        <v>13.54</v>
      </c>
      <c r="F151" s="379">
        <f t="shared" si="38"/>
        <v>-33653.890400000018</v>
      </c>
      <c r="G151" s="379">
        <f t="shared" si="39"/>
        <v>157924.0104</v>
      </c>
      <c r="H151" s="380">
        <f t="shared" si="37"/>
        <v>-0.21310179696399109</v>
      </c>
      <c r="I151" s="379"/>
    </row>
    <row r="152" spans="2:14" x14ac:dyDescent="0.25">
      <c r="B152" s="666">
        <v>42516</v>
      </c>
      <c r="C152" s="378">
        <v>9678</v>
      </c>
      <c r="D152" s="667">
        <v>17.003799999999998</v>
      </c>
      <c r="E152" s="379">
        <v>13.17</v>
      </c>
      <c r="F152" s="379">
        <f t="shared" si="38"/>
        <v>-37103.516399999986</v>
      </c>
      <c r="G152" s="379">
        <f t="shared" si="39"/>
        <v>164562.77639999997</v>
      </c>
      <c r="H152" s="380">
        <f t="shared" si="37"/>
        <v>-0.22546724849739463</v>
      </c>
      <c r="I152" s="379"/>
    </row>
    <row r="153" spans="2:14" x14ac:dyDescent="0.25">
      <c r="B153" s="666">
        <v>42517</v>
      </c>
      <c r="C153" s="378">
        <v>9678</v>
      </c>
      <c r="D153" s="667">
        <v>16.999700000000001</v>
      </c>
      <c r="E153" s="379">
        <v>12.9</v>
      </c>
      <c r="F153" s="379">
        <f t="shared" si="38"/>
        <v>-39676.8966</v>
      </c>
      <c r="G153" s="379">
        <f t="shared" si="39"/>
        <v>164523.09660000002</v>
      </c>
      <c r="H153" s="380">
        <f t="shared" si="37"/>
        <v>-0.2411630793484591</v>
      </c>
      <c r="I153" s="379"/>
    </row>
    <row r="154" spans="2:14" x14ac:dyDescent="0.25">
      <c r="B154" s="666">
        <v>42525</v>
      </c>
      <c r="C154" s="378">
        <v>9678</v>
      </c>
      <c r="D154" s="667">
        <v>16.9956</v>
      </c>
      <c r="E154" s="379">
        <v>13.32</v>
      </c>
      <c r="F154" s="379">
        <f t="shared" si="38"/>
        <v>-35572.456799999993</v>
      </c>
      <c r="G154" s="379">
        <f t="shared" si="39"/>
        <v>164483.41680000001</v>
      </c>
      <c r="H154" s="380">
        <f t="shared" si="37"/>
        <v>-0.21626773988561743</v>
      </c>
      <c r="I154" s="379"/>
    </row>
    <row r="155" spans="2:14" x14ac:dyDescent="0.25">
      <c r="B155" s="666">
        <v>42527</v>
      </c>
      <c r="C155" s="378">
        <v>8178</v>
      </c>
      <c r="D155" s="667">
        <v>17.568999999999999</v>
      </c>
      <c r="E155" s="379">
        <v>13.96</v>
      </c>
      <c r="F155" s="379">
        <f t="shared" si="38"/>
        <v>-29514.401999999984</v>
      </c>
      <c r="G155" s="379">
        <f t="shared" si="39"/>
        <v>143679.28200000001</v>
      </c>
      <c r="H155" s="380">
        <f t="shared" si="37"/>
        <v>-0.20541863509590746</v>
      </c>
      <c r="I155" s="379"/>
    </row>
    <row r="156" spans="2:14" x14ac:dyDescent="0.25">
      <c r="B156" s="666">
        <v>42528</v>
      </c>
      <c r="C156" s="378">
        <v>7678</v>
      </c>
      <c r="D156" s="667">
        <v>17.759599999999999</v>
      </c>
      <c r="E156" s="379">
        <v>14.62</v>
      </c>
      <c r="F156" s="379">
        <f t="shared" si="38"/>
        <v>-24105.848799999996</v>
      </c>
      <c r="G156" s="379">
        <f t="shared" si="39"/>
        <v>136358.20879999999</v>
      </c>
      <c r="H156" s="380">
        <f t="shared" si="37"/>
        <v>-0.17678326088425414</v>
      </c>
      <c r="I156" s="379"/>
    </row>
    <row r="157" spans="2:14" x14ac:dyDescent="0.25">
      <c r="B157" s="666">
        <v>42529</v>
      </c>
      <c r="C157" s="378">
        <v>8178</v>
      </c>
      <c r="D157" s="667">
        <v>17.5654</v>
      </c>
      <c r="E157" s="379">
        <v>14.53</v>
      </c>
      <c r="F157" s="379">
        <f t="shared" si="38"/>
        <v>-24823.50120000001</v>
      </c>
      <c r="G157" s="379">
        <f t="shared" si="39"/>
        <v>143649.8412</v>
      </c>
      <c r="H157" s="380">
        <f t="shared" si="37"/>
        <v>-0.17280562924840887</v>
      </c>
      <c r="I157" s="379"/>
    </row>
    <row r="158" spans="2:14" x14ac:dyDescent="0.25">
      <c r="B158" s="666">
        <v>42531</v>
      </c>
      <c r="C158" s="378">
        <v>8978</v>
      </c>
      <c r="D158" s="667">
        <v>17.1751</v>
      </c>
      <c r="E158" s="379">
        <v>13.42</v>
      </c>
      <c r="F158" s="379">
        <f t="shared" ref="F158:F166" si="40">C158*(E158-D158)</f>
        <v>-33713.287800000006</v>
      </c>
      <c r="G158" s="379">
        <f t="shared" ref="G158:G166" si="41">IF(C158=0, 0,D158*C158)</f>
        <v>154198.0478</v>
      </c>
      <c r="H158" s="380">
        <f t="shared" ref="H158:H166" si="42">IF(C158=0, D158, (E158-D158)/D158)</f>
        <v>-0.21863628159370255</v>
      </c>
      <c r="I158" s="379"/>
    </row>
    <row r="159" spans="2:14" x14ac:dyDescent="0.25">
      <c r="B159" s="666">
        <v>42531</v>
      </c>
      <c r="C159" s="399">
        <v>9278</v>
      </c>
      <c r="D159" s="668">
        <v>17.1052</v>
      </c>
      <c r="E159" s="379">
        <v>13.42</v>
      </c>
      <c r="F159" s="379">
        <f t="shared" si="40"/>
        <v>-34191.285600000003</v>
      </c>
      <c r="G159" s="379">
        <f t="shared" si="41"/>
        <v>158702.04560000001</v>
      </c>
      <c r="H159" s="380">
        <f t="shared" si="42"/>
        <v>-0.21544325702125669</v>
      </c>
      <c r="I159" s="379"/>
      <c r="N159" s="71"/>
    </row>
    <row r="160" spans="2:14" x14ac:dyDescent="0.25">
      <c r="B160" s="666">
        <v>42532</v>
      </c>
      <c r="C160" s="378">
        <v>9278</v>
      </c>
      <c r="D160" s="667">
        <v>17.053000000000001</v>
      </c>
      <c r="E160" s="379">
        <v>13.42</v>
      </c>
      <c r="F160" s="379">
        <f t="shared" si="40"/>
        <v>-33706.974000000009</v>
      </c>
      <c r="G160" s="379">
        <f t="shared" si="41"/>
        <v>158217.734</v>
      </c>
      <c r="H160" s="380">
        <f t="shared" si="42"/>
        <v>-0.21304169354365804</v>
      </c>
      <c r="I160" s="379" t="s">
        <v>185</v>
      </c>
    </row>
    <row r="161" spans="2:9" x14ac:dyDescent="0.25">
      <c r="B161" s="666">
        <v>42535</v>
      </c>
      <c r="C161" s="378">
        <v>9678</v>
      </c>
      <c r="D161" s="667">
        <v>16.879300000000001</v>
      </c>
      <c r="E161" s="379">
        <v>13.23</v>
      </c>
      <c r="F161" s="379">
        <f t="shared" si="40"/>
        <v>-35317.9254</v>
      </c>
      <c r="G161" s="379">
        <f t="shared" si="41"/>
        <v>163357.86540000001</v>
      </c>
      <c r="H161" s="380">
        <f t="shared" si="42"/>
        <v>-0.21619972392220058</v>
      </c>
      <c r="I161" s="379" t="s">
        <v>223</v>
      </c>
    </row>
    <row r="162" spans="2:9" x14ac:dyDescent="0.25">
      <c r="B162" s="666">
        <v>42536</v>
      </c>
      <c r="C162" s="378">
        <v>9278</v>
      </c>
      <c r="D162" s="667">
        <v>17.027999999999999</v>
      </c>
      <c r="E162" s="379">
        <v>13.06</v>
      </c>
      <c r="F162" s="379">
        <f t="shared" si="40"/>
        <v>-36815.103999999985</v>
      </c>
      <c r="G162" s="379">
        <f t="shared" si="41"/>
        <v>157985.78399999999</v>
      </c>
      <c r="H162" s="380">
        <f t="shared" si="42"/>
        <v>-0.23302795395818643</v>
      </c>
      <c r="I162" s="379"/>
    </row>
    <row r="163" spans="2:9" x14ac:dyDescent="0.25">
      <c r="B163" s="666">
        <v>42537</v>
      </c>
      <c r="C163" s="399">
        <v>9278</v>
      </c>
      <c r="D163" s="668">
        <v>17.0168</v>
      </c>
      <c r="E163" s="379">
        <v>12.67</v>
      </c>
      <c r="F163" s="379">
        <f t="shared" si="40"/>
        <v>-40329.610399999998</v>
      </c>
      <c r="G163" s="379">
        <f t="shared" si="41"/>
        <v>157881.87039999999</v>
      </c>
      <c r="H163" s="380">
        <f t="shared" si="42"/>
        <v>-0.25544168116214566</v>
      </c>
      <c r="I163" s="379"/>
    </row>
    <row r="164" spans="2:9" x14ac:dyDescent="0.25">
      <c r="B164" s="666">
        <v>42538</v>
      </c>
      <c r="C164" s="399">
        <v>9278</v>
      </c>
      <c r="D164" s="668">
        <v>17.0061</v>
      </c>
      <c r="E164" s="379">
        <v>13.16</v>
      </c>
      <c r="F164" s="379">
        <f t="shared" si="40"/>
        <v>-35684.1158</v>
      </c>
      <c r="G164" s="379">
        <f t="shared" si="41"/>
        <v>157782.59580000001</v>
      </c>
      <c r="H164" s="380">
        <f t="shared" si="42"/>
        <v>-0.2261600249322302</v>
      </c>
      <c r="I164" s="379"/>
    </row>
    <row r="165" spans="2:9" x14ac:dyDescent="0.25">
      <c r="B165" s="666">
        <v>42541</v>
      </c>
      <c r="C165" s="378">
        <v>7678</v>
      </c>
      <c r="D165" s="667">
        <v>17.568000000000001</v>
      </c>
      <c r="E165" s="379">
        <v>14.48</v>
      </c>
      <c r="F165" s="379">
        <f t="shared" si="40"/>
        <v>-23709.664000000008</v>
      </c>
      <c r="G165" s="379">
        <f t="shared" si="41"/>
        <v>134887.10400000002</v>
      </c>
      <c r="H165" s="381">
        <f t="shared" si="42"/>
        <v>-0.17577413479052828</v>
      </c>
      <c r="I165" s="379"/>
    </row>
    <row r="166" spans="2:9" x14ac:dyDescent="0.25">
      <c r="B166" s="666">
        <v>42542</v>
      </c>
      <c r="C166" s="378">
        <v>6800</v>
      </c>
      <c r="D166" s="667">
        <v>17.892099999999999</v>
      </c>
      <c r="E166" s="379">
        <v>15.09</v>
      </c>
      <c r="F166" s="379">
        <f t="shared" si="40"/>
        <v>-19054.279999999995</v>
      </c>
      <c r="G166" s="379">
        <f t="shared" si="41"/>
        <v>121666.28</v>
      </c>
      <c r="H166" s="381">
        <f t="shared" si="42"/>
        <v>-0.15661101827063337</v>
      </c>
      <c r="I166" s="379"/>
    </row>
    <row r="167" spans="2:9" x14ac:dyDescent="0.25">
      <c r="B167" s="666">
        <v>42543</v>
      </c>
      <c r="C167" s="378">
        <v>7300</v>
      </c>
      <c r="D167" s="667">
        <v>17.6769</v>
      </c>
      <c r="E167" s="379">
        <v>14.75</v>
      </c>
      <c r="F167" s="379">
        <f t="shared" ref="F167:F175" si="43">C167*(E167-D167)</f>
        <v>-21366.37</v>
      </c>
      <c r="G167" s="379">
        <f t="shared" ref="G167:G175" si="44">IF(C167=0, 0,D167*C167)</f>
        <v>129041.37</v>
      </c>
      <c r="H167" s="381">
        <f t="shared" ref="H167:H175" si="45">IF(C167=0, D167, (E167-D167)/D167)</f>
        <v>-0.16557767481854849</v>
      </c>
      <c r="I167" s="379"/>
    </row>
    <row r="168" spans="2:9" x14ac:dyDescent="0.25">
      <c r="B168" s="666">
        <v>42544</v>
      </c>
      <c r="C168" s="378">
        <v>6800</v>
      </c>
      <c r="D168" s="667">
        <v>17.856100000000001</v>
      </c>
      <c r="E168" s="379">
        <v>15.27</v>
      </c>
      <c r="F168" s="379">
        <f t="shared" si="43"/>
        <v>-17585.480000000014</v>
      </c>
      <c r="G168" s="379">
        <f t="shared" si="44"/>
        <v>121421.48000000001</v>
      </c>
      <c r="H168" s="381">
        <f t="shared" si="45"/>
        <v>-0.1448300580753917</v>
      </c>
      <c r="I168" s="379"/>
    </row>
    <row r="169" spans="2:9" x14ac:dyDescent="0.25">
      <c r="B169" s="666">
        <v>42545</v>
      </c>
      <c r="C169" s="378">
        <v>7678</v>
      </c>
      <c r="D169" s="667">
        <v>17.462</v>
      </c>
      <c r="E169" s="379">
        <v>14.41</v>
      </c>
      <c r="F169" s="379">
        <f t="shared" si="43"/>
        <v>-23433.255999999998</v>
      </c>
      <c r="G169" s="379">
        <f t="shared" si="44"/>
        <v>134073.236</v>
      </c>
      <c r="H169" s="381">
        <f t="shared" si="45"/>
        <v>-0.17477952124613444</v>
      </c>
      <c r="I169" s="379"/>
    </row>
    <row r="170" spans="2:9" x14ac:dyDescent="0.25">
      <c r="B170" s="666">
        <v>42545</v>
      </c>
      <c r="C170" s="378">
        <v>8013</v>
      </c>
      <c r="D170" s="667">
        <v>17.32</v>
      </c>
      <c r="E170" s="379">
        <v>14.68</v>
      </c>
      <c r="F170" s="379">
        <f t="shared" si="43"/>
        <v>-21154.320000000003</v>
      </c>
      <c r="G170" s="379">
        <f t="shared" si="44"/>
        <v>138785.16</v>
      </c>
      <c r="H170" s="381">
        <f t="shared" si="45"/>
        <v>-0.15242494226327949</v>
      </c>
      <c r="I170" s="379"/>
    </row>
    <row r="171" spans="2:9" x14ac:dyDescent="0.25">
      <c r="B171" s="666">
        <v>42548</v>
      </c>
      <c r="C171" s="378">
        <v>8978</v>
      </c>
      <c r="D171" s="667">
        <v>16.943300000000001</v>
      </c>
      <c r="E171" s="379">
        <v>13.66</v>
      </c>
      <c r="F171" s="379">
        <f t="shared" si="43"/>
        <v>-29477.467400000005</v>
      </c>
      <c r="G171" s="379">
        <f t="shared" si="44"/>
        <v>152116.9474</v>
      </c>
      <c r="H171" s="381">
        <f t="shared" si="45"/>
        <v>-0.19378161279089673</v>
      </c>
      <c r="I171" s="379"/>
    </row>
    <row r="172" spans="2:9" x14ac:dyDescent="0.25">
      <c r="B172" s="666">
        <v>42548</v>
      </c>
      <c r="C172" s="378">
        <v>9278</v>
      </c>
      <c r="D172" s="667">
        <v>16.834599999999998</v>
      </c>
      <c r="E172" s="379">
        <v>13.66</v>
      </c>
      <c r="F172" s="379">
        <f t="shared" si="43"/>
        <v>-29453.938799999982</v>
      </c>
      <c r="G172" s="379">
        <f t="shared" si="44"/>
        <v>156191.41879999998</v>
      </c>
      <c r="H172" s="380">
        <f t="shared" si="45"/>
        <v>-0.18857590913951019</v>
      </c>
      <c r="I172" s="379"/>
    </row>
    <row r="173" spans="2:9" x14ac:dyDescent="0.25">
      <c r="B173" s="666">
        <v>42549</v>
      </c>
      <c r="C173" s="378">
        <v>8178</v>
      </c>
      <c r="D173" s="667">
        <v>17.124400000000001</v>
      </c>
      <c r="E173" s="379">
        <v>14.78</v>
      </c>
      <c r="F173" s="379">
        <f t="shared" si="43"/>
        <v>-19172.503200000017</v>
      </c>
      <c r="G173" s="379">
        <f t="shared" si="44"/>
        <v>140043.3432</v>
      </c>
      <c r="H173" s="380">
        <f t="shared" si="45"/>
        <v>-0.13690406671182651</v>
      </c>
      <c r="I173" s="379">
        <v>17</v>
      </c>
    </row>
    <row r="174" spans="2:9" x14ac:dyDescent="0.25">
      <c r="B174" s="666">
        <v>42552</v>
      </c>
      <c r="C174" s="378">
        <v>7678</v>
      </c>
      <c r="D174" s="667">
        <v>17.2315</v>
      </c>
      <c r="E174" s="379">
        <v>15.48</v>
      </c>
      <c r="F174" s="379">
        <f t="shared" si="43"/>
        <v>-13448.017</v>
      </c>
      <c r="G174" s="379">
        <f t="shared" si="44"/>
        <v>132303.45699999999</v>
      </c>
      <c r="H174" s="380">
        <f t="shared" si="45"/>
        <v>-0.1016452427240809</v>
      </c>
      <c r="I174" s="379">
        <v>17</v>
      </c>
    </row>
    <row r="175" spans="2:9" x14ac:dyDescent="0.25">
      <c r="B175" s="666">
        <v>42552</v>
      </c>
      <c r="C175" s="378">
        <v>7300</v>
      </c>
      <c r="D175" s="667">
        <v>17.313400000000001</v>
      </c>
      <c r="E175" s="379">
        <v>15.65</v>
      </c>
      <c r="F175" s="379">
        <f t="shared" si="43"/>
        <v>-12142.820000000009</v>
      </c>
      <c r="G175" s="379">
        <f t="shared" si="44"/>
        <v>126387.82</v>
      </c>
      <c r="H175" s="380">
        <f t="shared" si="45"/>
        <v>-9.6075871868032903E-2</v>
      </c>
      <c r="I175" s="379"/>
    </row>
    <row r="176" spans="2:9" x14ac:dyDescent="0.25">
      <c r="B176" s="666">
        <v>42552</v>
      </c>
      <c r="C176" s="378">
        <v>6800</v>
      </c>
      <c r="D176" s="667">
        <v>17.446100000000001</v>
      </c>
      <c r="E176" s="379">
        <v>15.7</v>
      </c>
      <c r="F176" s="379">
        <f t="shared" ref="F176:F197" si="46">C176*(E176-D176)</f>
        <v>-11873.480000000014</v>
      </c>
      <c r="G176" s="379">
        <f t="shared" ref="G176:G197" si="47">IF(C176=0, 0,D176*C176)</f>
        <v>118633.48000000001</v>
      </c>
      <c r="H176" s="380">
        <f t="shared" ref="H176:H197" si="48">IF(C176=0, D176, (E176-D176)/D176)</f>
        <v>-0.10008540590733757</v>
      </c>
      <c r="I176" s="379"/>
    </row>
    <row r="177" spans="2:15" x14ac:dyDescent="0.25">
      <c r="B177" s="666">
        <v>42552</v>
      </c>
      <c r="C177" s="378">
        <v>6000</v>
      </c>
      <c r="D177" s="667">
        <v>17.668199999999999</v>
      </c>
      <c r="E177" s="379">
        <v>15.68</v>
      </c>
      <c r="F177" s="379">
        <f t="shared" si="46"/>
        <v>-11929.199999999995</v>
      </c>
      <c r="G177" s="379">
        <f t="shared" si="47"/>
        <v>106009.2</v>
      </c>
      <c r="H177" s="380">
        <f t="shared" si="48"/>
        <v>-0.11252985589929926</v>
      </c>
      <c r="I177" s="379"/>
    </row>
    <row r="178" spans="2:15" x14ac:dyDescent="0.25">
      <c r="B178" s="666">
        <v>42556</v>
      </c>
      <c r="C178" s="378">
        <v>8178</v>
      </c>
      <c r="D178" s="667">
        <v>16.978899999999999</v>
      </c>
      <c r="E178" s="379">
        <v>14.72</v>
      </c>
      <c r="F178" s="379">
        <f t="shared" si="46"/>
        <v>-18473.284199999991</v>
      </c>
      <c r="G178" s="379">
        <f t="shared" si="47"/>
        <v>138853.4442</v>
      </c>
      <c r="H178" s="380">
        <f t="shared" si="48"/>
        <v>-0.13304159869013887</v>
      </c>
      <c r="I178" s="379">
        <v>16.75</v>
      </c>
      <c r="O178" s="2"/>
    </row>
    <row r="179" spans="2:15" x14ac:dyDescent="0.25">
      <c r="B179" s="666">
        <v>42556</v>
      </c>
      <c r="C179" s="378">
        <v>8678</v>
      </c>
      <c r="D179" s="667">
        <v>16.843</v>
      </c>
      <c r="E179" s="379">
        <v>14.72</v>
      </c>
      <c r="F179" s="379">
        <f t="shared" si="46"/>
        <v>-18423.393999999993</v>
      </c>
      <c r="G179" s="379">
        <f t="shared" si="47"/>
        <v>146163.554</v>
      </c>
      <c r="H179" s="380">
        <f t="shared" si="48"/>
        <v>-0.12604642878347083</v>
      </c>
      <c r="I179" s="379"/>
    </row>
    <row r="180" spans="2:15" ht="15" customHeight="1" x14ac:dyDescent="0.25">
      <c r="B180" s="666">
        <v>42557</v>
      </c>
      <c r="C180" s="378">
        <v>8178</v>
      </c>
      <c r="D180" s="667">
        <v>16.960599999999999</v>
      </c>
      <c r="E180" s="379">
        <v>14.84</v>
      </c>
      <c r="F180" s="379">
        <f t="shared" si="46"/>
        <v>-17342.266799999998</v>
      </c>
      <c r="G180" s="379">
        <f t="shared" si="47"/>
        <v>138703.7868</v>
      </c>
      <c r="H180" s="380">
        <f t="shared" si="48"/>
        <v>-0.12503095409360515</v>
      </c>
      <c r="I180" s="379">
        <v>16.75</v>
      </c>
    </row>
    <row r="181" spans="2:15" x14ac:dyDescent="0.25">
      <c r="B181" s="666">
        <v>42557</v>
      </c>
      <c r="C181" s="378">
        <v>8678</v>
      </c>
      <c r="D181" s="667">
        <v>16.835000000000001</v>
      </c>
      <c r="E181" s="379">
        <v>14.84</v>
      </c>
      <c r="F181" s="379">
        <f t="shared" si="46"/>
        <v>-17312.610000000008</v>
      </c>
      <c r="G181" s="379">
        <f t="shared" si="47"/>
        <v>146094.13</v>
      </c>
      <c r="H181" s="380">
        <f t="shared" si="48"/>
        <v>-0.11850311850311855</v>
      </c>
      <c r="I181" s="379"/>
    </row>
    <row r="182" spans="2:15" x14ac:dyDescent="0.25">
      <c r="B182" s="666">
        <v>42559</v>
      </c>
      <c r="C182" s="378">
        <v>8678</v>
      </c>
      <c r="D182" s="667">
        <v>16.835000000000001</v>
      </c>
      <c r="E182" s="379">
        <v>14.92</v>
      </c>
      <c r="F182" s="379">
        <f t="shared" si="46"/>
        <v>-16618.370000000006</v>
      </c>
      <c r="G182" s="379">
        <f t="shared" si="47"/>
        <v>146094.13</v>
      </c>
      <c r="H182" s="380">
        <f t="shared" si="48"/>
        <v>-0.1137511137511138</v>
      </c>
      <c r="I182" s="379"/>
    </row>
    <row r="183" spans="2:15" x14ac:dyDescent="0.25">
      <c r="B183" s="666">
        <v>42562</v>
      </c>
      <c r="C183" s="378">
        <v>8678</v>
      </c>
      <c r="D183" s="667">
        <v>16.835000000000001</v>
      </c>
      <c r="E183" s="379">
        <v>14.69</v>
      </c>
      <c r="F183" s="379">
        <f t="shared" si="46"/>
        <v>-18614.310000000012</v>
      </c>
      <c r="G183" s="379">
        <f t="shared" si="47"/>
        <v>146094.13</v>
      </c>
      <c r="H183" s="380">
        <f t="shared" si="48"/>
        <v>-0.12741312741312749</v>
      </c>
      <c r="I183" s="379"/>
    </row>
    <row r="184" spans="2:15" x14ac:dyDescent="0.25">
      <c r="B184" s="666">
        <v>42563</v>
      </c>
      <c r="C184" s="378">
        <v>8678</v>
      </c>
      <c r="D184" s="667">
        <v>16.835000000000001</v>
      </c>
      <c r="E184" s="379">
        <v>15.6</v>
      </c>
      <c r="F184" s="379">
        <f t="shared" si="46"/>
        <v>-10717.330000000011</v>
      </c>
      <c r="G184" s="379">
        <f t="shared" si="47"/>
        <v>146094.13</v>
      </c>
      <c r="H184" s="380">
        <f t="shared" si="48"/>
        <v>-7.3359073359073421E-2</v>
      </c>
      <c r="I184" s="379"/>
    </row>
    <row r="185" spans="2:15" x14ac:dyDescent="0.25">
      <c r="B185" s="666">
        <v>42564</v>
      </c>
      <c r="C185" s="378">
        <v>8738</v>
      </c>
      <c r="D185" s="667">
        <v>16.816099999999999</v>
      </c>
      <c r="E185" s="379">
        <v>15.29</v>
      </c>
      <c r="F185" s="379">
        <f t="shared" si="46"/>
        <v>-13335.061799999996</v>
      </c>
      <c r="G185" s="379">
        <f t="shared" si="47"/>
        <v>146939.08179999999</v>
      </c>
      <c r="H185" s="380">
        <f t="shared" si="48"/>
        <v>-9.0752314745987453E-2</v>
      </c>
      <c r="I185" s="379"/>
    </row>
    <row r="186" spans="2:15" x14ac:dyDescent="0.25">
      <c r="B186" s="666">
        <v>42566</v>
      </c>
      <c r="C186" s="378">
        <v>8738</v>
      </c>
      <c r="D186" s="667">
        <v>16.816099999999999</v>
      </c>
      <c r="E186" s="379">
        <v>15.21</v>
      </c>
      <c r="F186" s="379">
        <f t="shared" si="46"/>
        <v>-14034.101799999982</v>
      </c>
      <c r="G186" s="379">
        <f t="shared" si="47"/>
        <v>146939.08179999999</v>
      </c>
      <c r="H186" s="380">
        <f t="shared" si="48"/>
        <v>-9.5509660384988079E-2</v>
      </c>
      <c r="I186" s="379"/>
      <c r="N186" s="71"/>
    </row>
    <row r="187" spans="2:15" x14ac:dyDescent="0.25">
      <c r="B187" s="666">
        <v>42570</v>
      </c>
      <c r="C187" s="378">
        <v>9138</v>
      </c>
      <c r="D187" s="667">
        <v>16.733499999999999</v>
      </c>
      <c r="E187" s="379">
        <v>14.75</v>
      </c>
      <c r="F187" s="379">
        <f t="shared" si="46"/>
        <v>-18125.222999999994</v>
      </c>
      <c r="G187" s="379">
        <f t="shared" si="47"/>
        <v>152910.723</v>
      </c>
      <c r="H187" s="380">
        <f t="shared" si="48"/>
        <v>-0.1185346759494427</v>
      </c>
      <c r="I187" s="379"/>
    </row>
    <row r="188" spans="2:15" x14ac:dyDescent="0.25">
      <c r="B188" s="666">
        <v>42571</v>
      </c>
      <c r="C188" s="399">
        <v>9138</v>
      </c>
      <c r="D188" s="668">
        <v>16.7227</v>
      </c>
      <c r="E188" s="379">
        <v>14.84</v>
      </c>
      <c r="F188" s="379">
        <f t="shared" si="46"/>
        <v>-17204.112599999997</v>
      </c>
      <c r="G188" s="379">
        <f t="shared" si="47"/>
        <v>152812.03260000001</v>
      </c>
      <c r="H188" s="380">
        <f t="shared" si="48"/>
        <v>-0.11258349429218965</v>
      </c>
      <c r="I188" s="379"/>
    </row>
    <row r="189" spans="2:15" x14ac:dyDescent="0.25">
      <c r="B189" s="666">
        <v>42572</v>
      </c>
      <c r="C189" s="378">
        <v>9138</v>
      </c>
      <c r="D189" s="667">
        <v>16.718900000000001</v>
      </c>
      <c r="E189" s="379">
        <v>14.42</v>
      </c>
      <c r="F189" s="379">
        <f t="shared" si="46"/>
        <v>-21007.348200000015</v>
      </c>
      <c r="G189" s="379">
        <f t="shared" si="47"/>
        <v>152777.3082</v>
      </c>
      <c r="H189" s="380">
        <f t="shared" si="48"/>
        <v>-0.13750306539305823</v>
      </c>
      <c r="I189" s="379"/>
    </row>
    <row r="190" spans="2:15" x14ac:dyDescent="0.25">
      <c r="B190" s="666">
        <v>42573</v>
      </c>
      <c r="C190" s="378">
        <v>9278</v>
      </c>
      <c r="D190" s="667">
        <v>16.679099999999998</v>
      </c>
      <c r="E190" s="379">
        <v>14.11</v>
      </c>
      <c r="F190" s="379">
        <f t="shared" si="46"/>
        <v>-23836.109799999987</v>
      </c>
      <c r="G190" s="379">
        <f t="shared" si="47"/>
        <v>154748.68979999999</v>
      </c>
      <c r="H190" s="380">
        <f t="shared" si="48"/>
        <v>-0.15403109280476759</v>
      </c>
      <c r="I190" s="379"/>
    </row>
    <row r="191" spans="2:15" x14ac:dyDescent="0.25">
      <c r="B191" s="666">
        <v>42576</v>
      </c>
      <c r="C191" s="378">
        <v>9478</v>
      </c>
      <c r="D191" s="667">
        <v>16.613099999999999</v>
      </c>
      <c r="E191" s="379">
        <v>13.58</v>
      </c>
      <c r="F191" s="379">
        <f t="shared" si="46"/>
        <v>-28747.721799999992</v>
      </c>
      <c r="G191" s="379">
        <f t="shared" si="47"/>
        <v>157458.96179999999</v>
      </c>
      <c r="H191" s="380">
        <f t="shared" si="48"/>
        <v>-0.18257278894366491</v>
      </c>
      <c r="I191" s="379"/>
    </row>
    <row r="192" spans="2:15" x14ac:dyDescent="0.25">
      <c r="B192" s="666">
        <v>42577</v>
      </c>
      <c r="C192" s="399">
        <v>9278</v>
      </c>
      <c r="D192" s="668">
        <v>16.674199999999999</v>
      </c>
      <c r="E192" s="379">
        <v>13.78</v>
      </c>
      <c r="F192" s="379">
        <f t="shared" si="46"/>
        <v>-26852.387599999998</v>
      </c>
      <c r="G192" s="379">
        <f t="shared" si="47"/>
        <v>154703.22759999998</v>
      </c>
      <c r="H192" s="380">
        <f t="shared" si="48"/>
        <v>-0.17357354475776948</v>
      </c>
      <c r="I192" s="379">
        <v>16.53</v>
      </c>
    </row>
    <row r="193" spans="2:14" x14ac:dyDescent="0.25">
      <c r="B193" s="666">
        <v>42578</v>
      </c>
      <c r="C193" s="399">
        <v>9478</v>
      </c>
      <c r="D193" s="668">
        <v>16.6004</v>
      </c>
      <c r="E193" s="379">
        <v>13.13</v>
      </c>
      <c r="F193" s="379">
        <f t="shared" si="46"/>
        <v>-32892.451199999996</v>
      </c>
      <c r="G193" s="379">
        <f t="shared" si="47"/>
        <v>157338.5912</v>
      </c>
      <c r="H193" s="380">
        <f t="shared" si="48"/>
        <v>-0.20905520348907253</v>
      </c>
      <c r="I193" s="379"/>
    </row>
    <row r="194" spans="2:14" x14ac:dyDescent="0.25">
      <c r="B194" s="666">
        <v>42580</v>
      </c>
      <c r="C194" s="378">
        <v>9478</v>
      </c>
      <c r="D194" s="667">
        <v>16.599</v>
      </c>
      <c r="E194" s="379">
        <v>13.64</v>
      </c>
      <c r="F194" s="379">
        <f t="shared" si="46"/>
        <v>-28045.401999999998</v>
      </c>
      <c r="G194" s="379">
        <f t="shared" si="47"/>
        <v>157325.32200000001</v>
      </c>
      <c r="H194" s="381">
        <f t="shared" si="48"/>
        <v>-0.17826375082836313</v>
      </c>
      <c r="I194" s="379"/>
    </row>
    <row r="195" spans="2:14" x14ac:dyDescent="0.25">
      <c r="B195" s="666">
        <v>42580</v>
      </c>
      <c r="C195" s="378">
        <v>9278</v>
      </c>
      <c r="D195" s="667">
        <v>16.664000000000001</v>
      </c>
      <c r="E195" s="379">
        <v>13.64</v>
      </c>
      <c r="F195" s="379">
        <f t="shared" si="46"/>
        <v>-28056.67200000001</v>
      </c>
      <c r="G195" s="379">
        <f t="shared" si="47"/>
        <v>154608.592</v>
      </c>
      <c r="H195" s="381">
        <f t="shared" si="48"/>
        <v>-0.18146903504560732</v>
      </c>
      <c r="I195" s="379">
        <v>16.53</v>
      </c>
    </row>
    <row r="196" spans="2:14" x14ac:dyDescent="0.25">
      <c r="B196" s="666">
        <v>42583</v>
      </c>
      <c r="C196" s="378">
        <v>9478</v>
      </c>
      <c r="D196" s="667">
        <v>16.5871</v>
      </c>
      <c r="E196" s="379">
        <v>12.92</v>
      </c>
      <c r="F196" s="379">
        <f t="shared" si="46"/>
        <v>-34756.773799999995</v>
      </c>
      <c r="G196" s="379">
        <f t="shared" si="47"/>
        <v>157212.5338</v>
      </c>
      <c r="H196" s="381">
        <f t="shared" si="48"/>
        <v>-0.22108144280796521</v>
      </c>
      <c r="I196" s="379"/>
    </row>
    <row r="197" spans="2:14" x14ac:dyDescent="0.25">
      <c r="B197" s="666">
        <v>42584</v>
      </c>
      <c r="C197" s="378">
        <v>9678</v>
      </c>
      <c r="D197" s="667">
        <v>16.5063</v>
      </c>
      <c r="E197" s="379">
        <v>12.9</v>
      </c>
      <c r="F197" s="379">
        <f t="shared" si="46"/>
        <v>-34901.771399999991</v>
      </c>
      <c r="G197" s="379">
        <f t="shared" si="47"/>
        <v>159747.97140000001</v>
      </c>
      <c r="H197" s="381">
        <f t="shared" si="48"/>
        <v>-0.21848021664455386</v>
      </c>
      <c r="I197" s="379"/>
    </row>
    <row r="198" spans="2:14" x14ac:dyDescent="0.25">
      <c r="B198" s="666">
        <v>42585</v>
      </c>
      <c r="C198" s="378">
        <v>10078</v>
      </c>
      <c r="D198" s="667">
        <v>16.5063</v>
      </c>
      <c r="E198" s="379">
        <v>12.9</v>
      </c>
      <c r="F198" s="379">
        <f t="shared" ref="F198:F213" si="49">C198*(E198-D198)</f>
        <v>-36344.291399999995</v>
      </c>
      <c r="G198" s="379">
        <f t="shared" ref="G198:G213" si="50">IF(C198=0, 0,D198*C198)</f>
        <v>166350.4914</v>
      </c>
      <c r="H198" s="381">
        <f t="shared" ref="H198:H213" si="51">IF(C198=0, D198, (E198-D198)/D198)</f>
        <v>-0.21848021664455386</v>
      </c>
      <c r="I198" s="379"/>
    </row>
    <row r="199" spans="2:14" x14ac:dyDescent="0.25">
      <c r="B199" s="666">
        <v>42586</v>
      </c>
      <c r="C199" s="378">
        <v>9678</v>
      </c>
      <c r="D199" s="667">
        <v>16.489799999999999</v>
      </c>
      <c r="E199" s="379">
        <v>13.41</v>
      </c>
      <c r="F199" s="379">
        <f t="shared" si="49"/>
        <v>-29806.304399999986</v>
      </c>
      <c r="G199" s="379">
        <f t="shared" si="50"/>
        <v>159588.28439999997</v>
      </c>
      <c r="H199" s="381">
        <f t="shared" si="51"/>
        <v>-0.1867700032747516</v>
      </c>
      <c r="I199" s="379"/>
    </row>
    <row r="200" spans="2:14" x14ac:dyDescent="0.25">
      <c r="B200" s="666">
        <v>42586</v>
      </c>
      <c r="C200" s="378">
        <v>9278</v>
      </c>
      <c r="D200" s="667">
        <v>16.609200000000001</v>
      </c>
      <c r="E200" s="379">
        <v>13.66</v>
      </c>
      <c r="F200" s="379">
        <f t="shared" si="49"/>
        <v>-27362.67760000001</v>
      </c>
      <c r="G200" s="379">
        <f t="shared" si="50"/>
        <v>154100.15760000001</v>
      </c>
      <c r="H200" s="381">
        <f t="shared" si="51"/>
        <v>-0.17756424150470829</v>
      </c>
      <c r="I200" s="379">
        <v>16.53</v>
      </c>
    </row>
    <row r="201" spans="2:14" ht="15" customHeight="1" x14ac:dyDescent="0.25">
      <c r="B201" s="666">
        <v>42586</v>
      </c>
      <c r="C201" s="378">
        <v>9138</v>
      </c>
      <c r="D201" s="667">
        <v>16.6511</v>
      </c>
      <c r="E201" s="379">
        <v>13.87</v>
      </c>
      <c r="F201" s="379">
        <f t="shared" si="49"/>
        <v>-25413.691800000004</v>
      </c>
      <c r="G201" s="379">
        <f t="shared" si="50"/>
        <v>152157.7518</v>
      </c>
      <c r="H201" s="380">
        <f t="shared" si="51"/>
        <v>-0.1670219985466426</v>
      </c>
      <c r="I201" s="379"/>
    </row>
    <row r="202" spans="2:14" x14ac:dyDescent="0.25">
      <c r="B202" s="666">
        <v>42593</v>
      </c>
      <c r="C202" s="378">
        <v>8678</v>
      </c>
      <c r="D202" s="667">
        <v>16.760300000000001</v>
      </c>
      <c r="E202" s="379">
        <v>14.61</v>
      </c>
      <c r="F202" s="379">
        <f t="shared" si="49"/>
        <v>-18660.303400000012</v>
      </c>
      <c r="G202" s="379">
        <f t="shared" si="50"/>
        <v>145445.88340000002</v>
      </c>
      <c r="H202" s="380">
        <f t="shared" si="51"/>
        <v>-0.12829722618330228</v>
      </c>
      <c r="I202" s="379"/>
    </row>
    <row r="203" spans="2:14" x14ac:dyDescent="0.25">
      <c r="B203" s="666">
        <v>42597</v>
      </c>
      <c r="C203" s="378">
        <v>8678</v>
      </c>
      <c r="D203" s="667">
        <v>16.7471</v>
      </c>
      <c r="E203" s="379">
        <v>14.9</v>
      </c>
      <c r="F203" s="379">
        <f t="shared" si="49"/>
        <v>-16029.133799999994</v>
      </c>
      <c r="G203" s="379">
        <f t="shared" si="50"/>
        <v>145331.33379999999</v>
      </c>
      <c r="H203" s="380">
        <f t="shared" si="51"/>
        <v>-0.11029372249523794</v>
      </c>
      <c r="I203" s="379"/>
    </row>
    <row r="204" spans="2:14" x14ac:dyDescent="0.25">
      <c r="B204" s="666">
        <v>42598</v>
      </c>
      <c r="C204" s="378">
        <v>8178</v>
      </c>
      <c r="D204" s="667">
        <v>16.8429</v>
      </c>
      <c r="E204" s="379">
        <v>15.17</v>
      </c>
      <c r="F204" s="379">
        <f t="shared" si="49"/>
        <v>-13680.976200000003</v>
      </c>
      <c r="G204" s="379">
        <f t="shared" si="50"/>
        <v>137741.23620000001</v>
      </c>
      <c r="H204" s="380">
        <f t="shared" si="51"/>
        <v>-9.9323750660515728E-2</v>
      </c>
      <c r="I204" s="379">
        <v>16.75</v>
      </c>
      <c r="N204" s="71"/>
    </row>
    <row r="205" spans="2:14" x14ac:dyDescent="0.25">
      <c r="B205" s="666">
        <v>42599</v>
      </c>
      <c r="C205" s="378">
        <v>7178</v>
      </c>
      <c r="D205" s="667">
        <v>17.009899999999998</v>
      </c>
      <c r="E205" s="379">
        <v>15.7</v>
      </c>
      <c r="F205" s="379">
        <f t="shared" si="49"/>
        <v>-9402.4621999999927</v>
      </c>
      <c r="G205" s="379">
        <f t="shared" si="50"/>
        <v>122097.06219999999</v>
      </c>
      <c r="H205" s="380">
        <f t="shared" si="51"/>
        <v>-7.7008095285686515E-2</v>
      </c>
      <c r="I205" s="379"/>
    </row>
    <row r="206" spans="2:14" x14ac:dyDescent="0.25">
      <c r="B206" s="666">
        <v>42600</v>
      </c>
      <c r="C206" s="378">
        <v>5500</v>
      </c>
      <c r="D206" s="667">
        <v>17.185600000000001</v>
      </c>
      <c r="E206" s="379">
        <v>16.68</v>
      </c>
      <c r="F206" s="379">
        <f t="shared" si="49"/>
        <v>-2780.8000000000065</v>
      </c>
      <c r="G206" s="379">
        <f t="shared" si="50"/>
        <v>94520.8</v>
      </c>
      <c r="H206" s="380">
        <f t="shared" si="51"/>
        <v>-2.9419979517735846E-2</v>
      </c>
      <c r="I206" s="379"/>
    </row>
    <row r="207" spans="2:14" x14ac:dyDescent="0.25">
      <c r="B207" s="666">
        <v>42601</v>
      </c>
      <c r="C207" s="378">
        <v>5000</v>
      </c>
      <c r="D207" s="667">
        <v>17.222200000000001</v>
      </c>
      <c r="E207" s="379">
        <v>16.8</v>
      </c>
      <c r="F207" s="379">
        <f t="shared" si="49"/>
        <v>-2111.0000000000005</v>
      </c>
      <c r="G207" s="379">
        <f t="shared" si="50"/>
        <v>86111</v>
      </c>
      <c r="H207" s="380">
        <f t="shared" si="51"/>
        <v>-2.4514870341768188E-2</v>
      </c>
      <c r="I207" s="379"/>
    </row>
    <row r="208" spans="2:14" x14ac:dyDescent="0.25">
      <c r="B208" s="666">
        <v>42604</v>
      </c>
      <c r="C208" s="378">
        <v>6000</v>
      </c>
      <c r="D208" s="667">
        <v>16.9651</v>
      </c>
      <c r="E208" s="379">
        <v>15.64</v>
      </c>
      <c r="F208" s="379">
        <f t="shared" si="49"/>
        <v>-7950.599999999994</v>
      </c>
      <c r="G208" s="379">
        <f t="shared" si="50"/>
        <v>101790.59999999999</v>
      </c>
      <c r="H208" s="380">
        <f t="shared" si="51"/>
        <v>-7.8107408739117312E-2</v>
      </c>
      <c r="I208" s="379"/>
    </row>
    <row r="209" spans="2:16" x14ac:dyDescent="0.25">
      <c r="B209" s="666">
        <v>42604</v>
      </c>
      <c r="C209" s="378">
        <v>6500</v>
      </c>
      <c r="D209" s="667">
        <v>16.850899999999999</v>
      </c>
      <c r="E209" s="379">
        <v>15.64</v>
      </c>
      <c r="F209" s="379">
        <f t="shared" si="49"/>
        <v>-7870.8499999999922</v>
      </c>
      <c r="G209" s="379">
        <f t="shared" si="50"/>
        <v>109530.84999999999</v>
      </c>
      <c r="H209" s="380">
        <f t="shared" si="51"/>
        <v>-7.1859663282079822E-2</v>
      </c>
      <c r="I209" s="379"/>
    </row>
    <row r="210" spans="2:16" ht="15" customHeight="1" x14ac:dyDescent="0.25">
      <c r="B210" s="666">
        <v>42605</v>
      </c>
      <c r="C210" s="378">
        <v>6000</v>
      </c>
      <c r="D210" s="667">
        <v>16.923500000000001</v>
      </c>
      <c r="E210" s="379">
        <v>16.43</v>
      </c>
      <c r="F210" s="379">
        <f t="shared" si="49"/>
        <v>-2961.0000000000055</v>
      </c>
      <c r="G210" s="379">
        <f t="shared" si="50"/>
        <v>101541</v>
      </c>
      <c r="H210" s="380">
        <f t="shared" si="51"/>
        <v>-2.9160634620498178E-2</v>
      </c>
      <c r="I210" s="379"/>
    </row>
    <row r="211" spans="2:16" ht="15" customHeight="1" x14ac:dyDescent="0.25">
      <c r="B211" s="666">
        <v>42605</v>
      </c>
      <c r="C211" s="378">
        <v>5500</v>
      </c>
      <c r="D211" s="667">
        <v>16.9848</v>
      </c>
      <c r="E211" s="379">
        <v>16.43</v>
      </c>
      <c r="F211" s="379">
        <f t="shared" si="49"/>
        <v>-3051.400000000001</v>
      </c>
      <c r="G211" s="379">
        <f t="shared" si="50"/>
        <v>93416.4</v>
      </c>
      <c r="H211" s="380">
        <f t="shared" si="51"/>
        <v>-3.266450002355048E-2</v>
      </c>
      <c r="I211" s="379"/>
    </row>
    <row r="212" spans="2:16" x14ac:dyDescent="0.25">
      <c r="B212" s="666">
        <v>42605</v>
      </c>
      <c r="C212" s="378">
        <v>5000</v>
      </c>
      <c r="D212" s="667">
        <v>17.035299999999999</v>
      </c>
      <c r="E212" s="379">
        <v>16.43</v>
      </c>
      <c r="F212" s="379">
        <f t="shared" si="49"/>
        <v>-3026.4999999999986</v>
      </c>
      <c r="G212" s="379">
        <f t="shared" si="50"/>
        <v>85176.5</v>
      </c>
      <c r="H212" s="380">
        <f t="shared" si="51"/>
        <v>-3.5532100990296606E-2</v>
      </c>
      <c r="I212" s="379"/>
    </row>
    <row r="213" spans="2:16" x14ac:dyDescent="0.25">
      <c r="B213" s="666">
        <v>42606</v>
      </c>
      <c r="C213" s="378">
        <v>5178</v>
      </c>
      <c r="D213" s="667">
        <v>17.0017</v>
      </c>
      <c r="E213" s="379">
        <v>16.059999999999999</v>
      </c>
      <c r="F213" s="379">
        <f t="shared" si="49"/>
        <v>-4876.1226000000042</v>
      </c>
      <c r="G213" s="379">
        <f t="shared" si="50"/>
        <v>88034.802599999995</v>
      </c>
      <c r="H213" s="380">
        <f t="shared" si="51"/>
        <v>-5.5388578789179958E-2</v>
      </c>
      <c r="I213" s="379"/>
    </row>
    <row r="214" spans="2:16" x14ac:dyDescent="0.25">
      <c r="B214" s="666">
        <v>42607</v>
      </c>
      <c r="C214" s="378">
        <v>5178</v>
      </c>
      <c r="D214" s="667">
        <v>17.0017</v>
      </c>
      <c r="E214" s="379">
        <v>16.010000000000002</v>
      </c>
      <c r="F214" s="379">
        <f>C214*(E214-D214)</f>
        <v>-5135.0225999999902</v>
      </c>
      <c r="G214" s="379">
        <f>IF(C214=0, 0,D214*C214)</f>
        <v>88034.802599999995</v>
      </c>
      <c r="H214" s="380">
        <f>IF(C214=0, D214, (E214-D214)/D214)</f>
        <v>-5.8329461171529789E-2</v>
      </c>
      <c r="I214" s="379"/>
    </row>
    <row r="215" spans="2:16" x14ac:dyDescent="0.25">
      <c r="B215" s="666">
        <v>42608</v>
      </c>
      <c r="C215" s="378">
        <v>6178</v>
      </c>
      <c r="D215" s="667">
        <v>16.825800000000001</v>
      </c>
      <c r="E215" s="379">
        <v>15.95</v>
      </c>
      <c r="F215" s="379">
        <f>C215*(E215-D215)</f>
        <v>-5410.6924000000108</v>
      </c>
      <c r="G215" s="379">
        <f>IF(C215=0, 0,D215*C215)</f>
        <v>103949.79240000001</v>
      </c>
      <c r="H215" s="380">
        <f>IF(C215=0, D215, (E215-D215)/D215)</f>
        <v>-5.2051016890727435E-2</v>
      </c>
      <c r="I215" s="379"/>
    </row>
    <row r="216" spans="2:16" x14ac:dyDescent="0.25">
      <c r="B216" s="666">
        <v>42611</v>
      </c>
      <c r="C216" s="378">
        <v>6178</v>
      </c>
      <c r="D216" s="667">
        <v>16.825800000000001</v>
      </c>
      <c r="E216" s="379">
        <v>15.99</v>
      </c>
      <c r="F216" s="379">
        <f t="shared" ref="F216:F221" si="52">C216*(E216-D216)</f>
        <v>-5163.5724000000046</v>
      </c>
      <c r="G216" s="379">
        <f t="shared" ref="G216:G221" si="53">IF(C216=0, 0,D216*C216)</f>
        <v>103949.79240000001</v>
      </c>
      <c r="H216" s="380">
        <f t="shared" ref="H216:H221" si="54">IF(C216=0, D216, (E216-D216)/D216)</f>
        <v>-4.9673715365688452E-2</v>
      </c>
      <c r="I216" s="379"/>
    </row>
    <row r="217" spans="2:16" x14ac:dyDescent="0.25">
      <c r="B217" s="666">
        <v>42612</v>
      </c>
      <c r="C217" s="378">
        <v>6678</v>
      </c>
      <c r="D217" s="667">
        <v>16.739999999999998</v>
      </c>
      <c r="E217" s="379">
        <v>15.55</v>
      </c>
      <c r="F217" s="466">
        <f t="shared" si="52"/>
        <v>-7946.8199999999852</v>
      </c>
      <c r="G217" s="379">
        <f t="shared" si="53"/>
        <v>111789.71999999999</v>
      </c>
      <c r="H217" s="381">
        <f t="shared" si="54"/>
        <v>-7.1087216248506446E-2</v>
      </c>
      <c r="I217" s="398"/>
    </row>
    <row r="218" spans="2:16" x14ac:dyDescent="0.25">
      <c r="B218" s="666">
        <v>42612</v>
      </c>
      <c r="C218" s="378">
        <v>7178</v>
      </c>
      <c r="D218" s="667">
        <v>16.6571</v>
      </c>
      <c r="E218" s="379">
        <v>15.55</v>
      </c>
      <c r="F218" s="379">
        <f t="shared" si="52"/>
        <v>-7946.7637999999934</v>
      </c>
      <c r="G218" s="379">
        <f t="shared" si="53"/>
        <v>119564.66379999999</v>
      </c>
      <c r="H218" s="380">
        <f t="shared" si="54"/>
        <v>-6.6464150422342369E-2</v>
      </c>
      <c r="I218" s="379"/>
      <c r="P218" s="71"/>
    </row>
    <row r="219" spans="2:16" x14ac:dyDescent="0.25">
      <c r="B219" s="666">
        <v>42613</v>
      </c>
      <c r="C219" s="378">
        <v>7678</v>
      </c>
      <c r="D219" s="667">
        <v>16.565200000000001</v>
      </c>
      <c r="E219" s="379">
        <v>15.02</v>
      </c>
      <c r="F219" s="379">
        <f t="shared" si="52"/>
        <v>-11864.04560000001</v>
      </c>
      <c r="G219" s="379">
        <f t="shared" si="53"/>
        <v>127187.60560000001</v>
      </c>
      <c r="H219" s="380">
        <f t="shared" si="54"/>
        <v>-9.3279887957887692E-2</v>
      </c>
      <c r="I219" s="379" t="s">
        <v>269</v>
      </c>
      <c r="P219" s="71"/>
    </row>
    <row r="220" spans="2:16" x14ac:dyDescent="0.25">
      <c r="B220" s="666">
        <v>42613</v>
      </c>
      <c r="C220" s="378">
        <v>8178</v>
      </c>
      <c r="D220" s="667">
        <v>16.474399999999999</v>
      </c>
      <c r="E220" s="379">
        <v>15.02</v>
      </c>
      <c r="F220" s="379">
        <f t="shared" si="52"/>
        <v>-11894.083199999997</v>
      </c>
      <c r="G220" s="379">
        <f t="shared" si="53"/>
        <v>134727.64319999999</v>
      </c>
      <c r="H220" s="380">
        <f t="shared" si="54"/>
        <v>-8.8282426067110162E-2</v>
      </c>
      <c r="I220" s="379" t="s">
        <v>270</v>
      </c>
    </row>
    <row r="221" spans="2:16" x14ac:dyDescent="0.25">
      <c r="B221" s="666">
        <v>42615</v>
      </c>
      <c r="C221" s="378">
        <v>7678</v>
      </c>
      <c r="D221" s="667">
        <v>16.528099999999998</v>
      </c>
      <c r="E221" s="379">
        <v>15.49</v>
      </c>
      <c r="F221" s="379">
        <f t="shared" si="52"/>
        <v>-7970.5317999999861</v>
      </c>
      <c r="G221" s="379">
        <f t="shared" si="53"/>
        <v>126902.75179999998</v>
      </c>
      <c r="H221" s="380">
        <f t="shared" si="54"/>
        <v>-6.2808187268953986E-2</v>
      </c>
      <c r="I221" s="379">
        <v>16.350000000000001</v>
      </c>
    </row>
    <row r="222" spans="2:16" x14ac:dyDescent="0.25">
      <c r="B222" s="666">
        <v>42616</v>
      </c>
      <c r="C222" s="378">
        <v>7678</v>
      </c>
      <c r="D222" s="667">
        <v>16.528099999999998</v>
      </c>
      <c r="E222" s="379">
        <v>15.64</v>
      </c>
      <c r="F222" s="379">
        <f>C222*(E222-D222)</f>
        <v>-6818.8317999999836</v>
      </c>
      <c r="G222" s="379">
        <f>IF(C222=0, 0,D222*C222)</f>
        <v>126902.75179999998</v>
      </c>
      <c r="H222" s="380">
        <f>IF(C222=0, D222, (E222-D222)/D222)</f>
        <v>-5.3732733950060681E-2</v>
      </c>
      <c r="I222" s="379"/>
    </row>
    <row r="223" spans="2:16" x14ac:dyDescent="0.25">
      <c r="B223" s="666">
        <v>42621</v>
      </c>
      <c r="C223" s="378">
        <v>7178</v>
      </c>
      <c r="D223" s="667">
        <v>16.545400000000001</v>
      </c>
      <c r="E223" s="379">
        <v>16.739999999999998</v>
      </c>
      <c r="F223" s="379">
        <f>C223*(E223-D223)</f>
        <v>1396.8387999999832</v>
      </c>
      <c r="G223" s="379">
        <f>IF(C223=0, 0,D223*C223)</f>
        <v>118762.8812</v>
      </c>
      <c r="H223" s="380">
        <f>IF(C223=0, D223, (E223-D223)/D223)</f>
        <v>1.1761577235968768E-2</v>
      </c>
      <c r="I223" s="379"/>
    </row>
    <row r="224" spans="2:16" x14ac:dyDescent="0.25">
      <c r="B224" s="666">
        <v>42621</v>
      </c>
      <c r="C224" s="399">
        <v>6678</v>
      </c>
      <c r="D224" s="668">
        <v>16.532299999999999</v>
      </c>
      <c r="E224" s="379">
        <v>16.739999999999998</v>
      </c>
      <c r="F224" s="379">
        <f>C224*(E224-D224)</f>
        <v>1387.0205999999941</v>
      </c>
      <c r="G224" s="379">
        <f>IF(C224=0, 0,D224*C224)</f>
        <v>110402.6994</v>
      </c>
      <c r="H224" s="380">
        <f>IF(C224=0, D224, (E224-D224)/D224)</f>
        <v>1.256328520532528E-2</v>
      </c>
      <c r="I224" s="379"/>
    </row>
    <row r="225" spans="2:17" ht="15" customHeight="1" x14ac:dyDescent="0.25">
      <c r="B225" s="666">
        <v>42621</v>
      </c>
      <c r="C225" s="378">
        <v>6458</v>
      </c>
      <c r="D225" s="667">
        <v>16.524263999999999</v>
      </c>
      <c r="E225" s="379">
        <v>16.739999999999998</v>
      </c>
      <c r="F225" s="379">
        <f>C225*(E225-D225)</f>
        <v>1393.2230879999981</v>
      </c>
      <c r="G225" s="379">
        <f>IF(C225=0, 0,D225*C225)</f>
        <v>106713.69691199998</v>
      </c>
      <c r="H225" s="380">
        <f>IF(C225=0, D225, (E225-D225)/D225)</f>
        <v>1.3055710075801242E-2</v>
      </c>
      <c r="I225" s="379"/>
    </row>
    <row r="226" spans="2:17" ht="18.75" customHeight="1" x14ac:dyDescent="0.25">
      <c r="B226" s="666">
        <v>42622</v>
      </c>
      <c r="C226" s="378">
        <v>7178</v>
      </c>
      <c r="D226" s="667">
        <v>16.477945999999999</v>
      </c>
      <c r="E226" s="379">
        <v>15.67</v>
      </c>
      <c r="F226" s="379">
        <f>C226*(E226-D226)</f>
        <v>-5799.4363879999955</v>
      </c>
      <c r="G226" s="379">
        <f>IF(C226=0, 0,D226*C226)</f>
        <v>118278.696388</v>
      </c>
      <c r="H226" s="380">
        <f>IF(C226=0, D226, (E226-D226)/D226)</f>
        <v>-4.9031960658203359E-2</v>
      </c>
      <c r="I226" s="379"/>
    </row>
    <row r="227" spans="2:17" x14ac:dyDescent="0.25">
      <c r="B227" s="666">
        <v>42622</v>
      </c>
      <c r="C227" s="378">
        <v>7678</v>
      </c>
      <c r="D227" s="667">
        <v>16.430541999999999</v>
      </c>
      <c r="E227" s="379">
        <v>15.67</v>
      </c>
      <c r="F227" s="379">
        <f t="shared" ref="F227:F233" si="55">C227*(E227-D227)</f>
        <v>-5839.4414759999936</v>
      </c>
      <c r="G227" s="379">
        <f t="shared" ref="G227:G233" si="56">IF(C227=0, 0,D227*C227)</f>
        <v>126153.70147599999</v>
      </c>
      <c r="H227" s="380">
        <f t="shared" ref="H227:H233" si="57">IF(C227=0, D227, (E227-D227)/D227)</f>
        <v>-4.6288308687564853E-2</v>
      </c>
      <c r="I227" s="379">
        <v>16.350000000000001</v>
      </c>
    </row>
    <row r="228" spans="2:17" x14ac:dyDescent="0.25">
      <c r="B228" s="666">
        <v>42625</v>
      </c>
      <c r="C228" s="399">
        <v>7678</v>
      </c>
      <c r="D228" s="668">
        <v>16.412330000000001</v>
      </c>
      <c r="E228" s="379">
        <v>15.47</v>
      </c>
      <c r="F228" s="379">
        <f t="shared" si="55"/>
        <v>-7235.2097400000011</v>
      </c>
      <c r="G228" s="379">
        <f t="shared" si="56"/>
        <v>126013.86974000001</v>
      </c>
      <c r="H228" s="380">
        <f t="shared" si="57"/>
        <v>-5.7415979327737135E-2</v>
      </c>
      <c r="I228" s="379"/>
    </row>
    <row r="229" spans="2:17" x14ac:dyDescent="0.25">
      <c r="B229" s="666">
        <v>42625</v>
      </c>
      <c r="C229" s="399">
        <v>7678</v>
      </c>
      <c r="D229" s="668">
        <v>16.355817999999999</v>
      </c>
      <c r="E229" s="379">
        <v>15.47</v>
      </c>
      <c r="F229" s="379">
        <f t="shared" si="55"/>
        <v>-6801.3106039999893</v>
      </c>
      <c r="G229" s="379">
        <f t="shared" si="56"/>
        <v>125579.970604</v>
      </c>
      <c r="H229" s="380">
        <f t="shared" si="57"/>
        <v>-5.4159198885680847E-2</v>
      </c>
      <c r="I229" s="379" t="s">
        <v>285</v>
      </c>
    </row>
    <row r="230" spans="2:17" x14ac:dyDescent="0.25">
      <c r="B230" s="666">
        <v>42626</v>
      </c>
      <c r="C230" s="378">
        <v>8278</v>
      </c>
      <c r="D230" s="667">
        <v>16.25066</v>
      </c>
      <c r="E230" s="379">
        <v>14.34</v>
      </c>
      <c r="F230" s="379">
        <f t="shared" si="55"/>
        <v>-15816.44348</v>
      </c>
      <c r="G230" s="379">
        <f t="shared" si="56"/>
        <v>134522.96348000001</v>
      </c>
      <c r="H230" s="381">
        <f t="shared" si="57"/>
        <v>-0.11757430159759666</v>
      </c>
      <c r="I230" s="379"/>
      <c r="P230" s="1"/>
    </row>
    <row r="231" spans="2:17" x14ac:dyDescent="0.25">
      <c r="B231" s="666">
        <v>42626</v>
      </c>
      <c r="C231" s="378">
        <v>8678</v>
      </c>
      <c r="D231" s="667">
        <v>16.18149</v>
      </c>
      <c r="E231" s="379">
        <v>14.34</v>
      </c>
      <c r="F231" s="379">
        <f t="shared" si="55"/>
        <v>-15980.450220000002</v>
      </c>
      <c r="G231" s="379">
        <f t="shared" si="56"/>
        <v>140422.97021999999</v>
      </c>
      <c r="H231" s="381">
        <f t="shared" si="57"/>
        <v>-0.11380225183218605</v>
      </c>
      <c r="I231" s="379"/>
      <c r="Q231" s="71"/>
    </row>
    <row r="232" spans="2:17" x14ac:dyDescent="0.25">
      <c r="B232" s="666">
        <v>42626</v>
      </c>
      <c r="C232" s="378">
        <v>8978</v>
      </c>
      <c r="D232" s="667">
        <v>16.124635000000001</v>
      </c>
      <c r="E232" s="379">
        <v>14.34</v>
      </c>
      <c r="F232" s="379">
        <f t="shared" si="55"/>
        <v>-16022.453030000013</v>
      </c>
      <c r="G232" s="379">
        <f t="shared" si="56"/>
        <v>144766.97303000002</v>
      </c>
      <c r="H232" s="381">
        <f t="shared" si="57"/>
        <v>-0.11067754401882594</v>
      </c>
      <c r="I232" s="379"/>
      <c r="P232" s="1"/>
    </row>
    <row r="233" spans="2:17" x14ac:dyDescent="0.25">
      <c r="B233" s="666">
        <v>42626</v>
      </c>
      <c r="C233" s="378">
        <v>9278</v>
      </c>
      <c r="D233" s="667">
        <v>16.064019999999999</v>
      </c>
      <c r="E233" s="379">
        <v>14.34</v>
      </c>
      <c r="F233" s="379">
        <f t="shared" si="55"/>
        <v>-15995.457559999995</v>
      </c>
      <c r="G233" s="379">
        <f t="shared" si="56"/>
        <v>149041.97756</v>
      </c>
      <c r="H233" s="381">
        <f t="shared" si="57"/>
        <v>-0.10732182853357998</v>
      </c>
      <c r="I233" s="379" t="s">
        <v>286</v>
      </c>
      <c r="P233" s="1"/>
      <c r="Q233" s="71"/>
    </row>
    <row r="234" spans="2:17" x14ac:dyDescent="0.25">
      <c r="B234" s="666">
        <v>42627</v>
      </c>
      <c r="C234" s="378">
        <v>9478</v>
      </c>
      <c r="D234" s="667">
        <v>16.020790999999999</v>
      </c>
      <c r="E234" s="379">
        <v>14.01</v>
      </c>
      <c r="F234" s="379">
        <f t="shared" ref="F234:F241" si="58">C234*(E234-D234)</f>
        <v>-19058.277097999995</v>
      </c>
      <c r="G234" s="379">
        <f t="shared" ref="G234:G241" si="59">IF(C234=0, 0,D234*C234)</f>
        <v>151845.05709799999</v>
      </c>
      <c r="H234" s="381">
        <f t="shared" ref="H234:H241" si="60">IF(C234=0, D234, (E234-D234)/D234)</f>
        <v>-0.1255113433537707</v>
      </c>
      <c r="I234" s="379"/>
      <c r="P234" s="1"/>
    </row>
    <row r="235" spans="2:17" x14ac:dyDescent="0.25">
      <c r="B235" s="666">
        <v>42628</v>
      </c>
      <c r="C235" s="378">
        <v>9478</v>
      </c>
      <c r="D235" s="667">
        <v>16.015726999999998</v>
      </c>
      <c r="E235" s="379">
        <v>14.26</v>
      </c>
      <c r="F235" s="379">
        <f t="shared" si="58"/>
        <v>-16640.780505999985</v>
      </c>
      <c r="G235" s="379">
        <f t="shared" si="59"/>
        <v>151797.06050599998</v>
      </c>
      <c r="H235" s="381">
        <f t="shared" si="60"/>
        <v>-0.1096251827968845</v>
      </c>
      <c r="I235" s="379"/>
      <c r="N235" s="30"/>
      <c r="P235" s="1"/>
      <c r="Q235" s="71"/>
    </row>
    <row r="236" spans="2:17" x14ac:dyDescent="0.25">
      <c r="B236" s="666">
        <v>42629</v>
      </c>
      <c r="C236" s="378">
        <v>9478</v>
      </c>
      <c r="D236" s="667">
        <v>16.015726999999998</v>
      </c>
      <c r="E236" s="379">
        <v>14.24</v>
      </c>
      <c r="F236" s="379">
        <f t="shared" si="58"/>
        <v>-16830.340505999982</v>
      </c>
      <c r="G236" s="379">
        <f t="shared" si="59"/>
        <v>151797.06050599998</v>
      </c>
      <c r="H236" s="381">
        <f t="shared" si="60"/>
        <v>-0.1108739553315312</v>
      </c>
      <c r="I236" s="379"/>
      <c r="Q236" s="71"/>
    </row>
    <row r="237" spans="2:17" x14ac:dyDescent="0.25">
      <c r="B237" s="666">
        <v>42632</v>
      </c>
      <c r="C237" s="378">
        <v>9678</v>
      </c>
      <c r="D237" s="667">
        <v>15.975311</v>
      </c>
      <c r="E237" s="379">
        <v>14.09</v>
      </c>
      <c r="F237" s="379">
        <f t="shared" si="58"/>
        <v>-18246.039857999996</v>
      </c>
      <c r="G237" s="379">
        <f t="shared" si="59"/>
        <v>154609.05985799999</v>
      </c>
      <c r="H237" s="380">
        <f t="shared" si="60"/>
        <v>-0.11801404054043141</v>
      </c>
      <c r="I237" s="379"/>
      <c r="P237" s="1"/>
    </row>
    <row r="238" spans="2:17" x14ac:dyDescent="0.25">
      <c r="B238" s="666">
        <v>42633</v>
      </c>
      <c r="C238" s="378">
        <v>9878</v>
      </c>
      <c r="D238" s="667">
        <v>15.937544000000001</v>
      </c>
      <c r="E238" s="379">
        <v>13.87</v>
      </c>
      <c r="F238" s="379">
        <f t="shared" si="58"/>
        <v>-20423.199632000014</v>
      </c>
      <c r="G238" s="379">
        <f t="shared" si="59"/>
        <v>157431.05963200002</v>
      </c>
      <c r="H238" s="380">
        <f t="shared" si="60"/>
        <v>-0.12972789282966068</v>
      </c>
      <c r="I238" s="379"/>
    </row>
    <row r="239" spans="2:17" x14ac:dyDescent="0.25">
      <c r="B239" s="666">
        <v>42633</v>
      </c>
      <c r="C239" s="378">
        <v>10000</v>
      </c>
      <c r="D239" s="667">
        <v>15.915126000000001</v>
      </c>
      <c r="E239" s="379">
        <v>13.87</v>
      </c>
      <c r="F239" s="379">
        <f t="shared" si="58"/>
        <v>-20451.260000000017</v>
      </c>
      <c r="G239" s="379">
        <f t="shared" si="59"/>
        <v>159151.26</v>
      </c>
      <c r="H239" s="380">
        <f t="shared" si="60"/>
        <v>-0.12850203008132022</v>
      </c>
      <c r="I239" s="379"/>
    </row>
    <row r="240" spans="2:17" x14ac:dyDescent="0.25">
      <c r="B240" s="666">
        <v>42634</v>
      </c>
      <c r="C240" s="378">
        <v>9678</v>
      </c>
      <c r="D240" s="667">
        <v>15.969538999999999</v>
      </c>
      <c r="E240" s="379">
        <v>14.65</v>
      </c>
      <c r="F240" s="379">
        <f t="shared" si="58"/>
        <v>-12770.498441999989</v>
      </c>
      <c r="G240" s="379">
        <f t="shared" si="59"/>
        <v>154553.19844199999</v>
      </c>
      <c r="H240" s="380">
        <f t="shared" si="60"/>
        <v>-8.2628496664806608E-2</v>
      </c>
      <c r="I240" s="379"/>
    </row>
    <row r="241" spans="2:9" x14ac:dyDescent="0.25">
      <c r="B241" s="666">
        <v>42634</v>
      </c>
      <c r="C241" s="378">
        <v>9278</v>
      </c>
      <c r="D241" s="667">
        <v>16.026872999999998</v>
      </c>
      <c r="E241" s="379">
        <v>14.65</v>
      </c>
      <c r="F241" s="379">
        <f t="shared" si="58"/>
        <v>-12774.627693999981</v>
      </c>
      <c r="G241" s="379">
        <f t="shared" si="59"/>
        <v>148697.32769399998</v>
      </c>
      <c r="H241" s="380">
        <f t="shared" si="60"/>
        <v>-8.5910270830747718E-2</v>
      </c>
      <c r="I241" s="379">
        <v>16</v>
      </c>
    </row>
    <row r="242" spans="2:9" x14ac:dyDescent="0.25">
      <c r="B242" s="666">
        <v>42635</v>
      </c>
      <c r="C242" s="378">
        <v>9278</v>
      </c>
      <c r="D242" s="667">
        <v>16.026872999999998</v>
      </c>
      <c r="E242" s="379">
        <v>14.87</v>
      </c>
      <c r="F242" s="379">
        <f t="shared" ref="F242:F253" si="61">C242*(E242-D242)</f>
        <v>-10733.467693999992</v>
      </c>
      <c r="G242" s="379">
        <f t="shared" ref="G242:G253" si="62">IF(C242=0, 0,D242*C242)</f>
        <v>148697.32769399998</v>
      </c>
      <c r="H242" s="380">
        <f t="shared" ref="H242:H253" si="63">IF(C242=0, D242, (E242-D242)/D242)</f>
        <v>-7.2183326092369937E-2</v>
      </c>
      <c r="I242" s="379"/>
    </row>
    <row r="243" spans="2:9" x14ac:dyDescent="0.25">
      <c r="B243" s="666">
        <v>42636</v>
      </c>
      <c r="C243" s="378">
        <v>9478</v>
      </c>
      <c r="D243" s="667">
        <v>15.992122</v>
      </c>
      <c r="E243" s="379">
        <v>14.49</v>
      </c>
      <c r="F243" s="379">
        <f t="shared" si="61"/>
        <v>-14237.112315999999</v>
      </c>
      <c r="G243" s="379">
        <f t="shared" si="62"/>
        <v>151573.33231600001</v>
      </c>
      <c r="H243" s="380">
        <f t="shared" si="63"/>
        <v>-9.39288732289561E-2</v>
      </c>
      <c r="I243" s="379"/>
    </row>
    <row r="244" spans="2:9" x14ac:dyDescent="0.25">
      <c r="B244" s="666">
        <v>42639</v>
      </c>
      <c r="C244" s="378">
        <v>9278</v>
      </c>
      <c r="D244" s="667">
        <v>16.019549999999999</v>
      </c>
      <c r="E244" s="379">
        <v>14.41</v>
      </c>
      <c r="F244" s="379">
        <f t="shared" si="61"/>
        <v>-14933.404899999989</v>
      </c>
      <c r="G244" s="379">
        <f t="shared" si="62"/>
        <v>148629.38489999998</v>
      </c>
      <c r="H244" s="380">
        <f t="shared" si="63"/>
        <v>-0.10047410819904422</v>
      </c>
      <c r="I244" s="379">
        <v>16</v>
      </c>
    </row>
    <row r="245" spans="2:9" x14ac:dyDescent="0.25">
      <c r="B245" s="666">
        <v>42639</v>
      </c>
      <c r="C245" s="378">
        <v>9478</v>
      </c>
      <c r="D245" s="667">
        <v>15.987468</v>
      </c>
      <c r="E245" s="379">
        <v>14.41</v>
      </c>
      <c r="F245" s="379">
        <f t="shared" si="61"/>
        <v>-14951.241703999996</v>
      </c>
      <c r="G245" s="379">
        <f t="shared" si="62"/>
        <v>151529.221704</v>
      </c>
      <c r="H245" s="380">
        <f t="shared" si="63"/>
        <v>-9.8669032519721048E-2</v>
      </c>
      <c r="I245" s="379"/>
    </row>
    <row r="246" spans="2:9" x14ac:dyDescent="0.25">
      <c r="B246" s="666">
        <v>42639</v>
      </c>
      <c r="C246" s="378">
        <v>9678</v>
      </c>
      <c r="D246" s="667">
        <v>15.954266000000001</v>
      </c>
      <c r="E246" s="379">
        <v>14.41</v>
      </c>
      <c r="F246" s="379">
        <f t="shared" si="61"/>
        <v>-14945.406348000004</v>
      </c>
      <c r="G246" s="379">
        <f t="shared" si="62"/>
        <v>154405.386348</v>
      </c>
      <c r="H246" s="380">
        <f t="shared" si="63"/>
        <v>-9.6793296538994669E-2</v>
      </c>
      <c r="I246" s="379"/>
    </row>
    <row r="247" spans="2:9" x14ac:dyDescent="0.25">
      <c r="B247" s="666">
        <v>42640</v>
      </c>
      <c r="C247" s="378">
        <v>10000</v>
      </c>
      <c r="D247" s="667">
        <v>15.890373</v>
      </c>
      <c r="E247" s="379">
        <v>14.06</v>
      </c>
      <c r="F247" s="379">
        <f t="shared" si="61"/>
        <v>-18303.73</v>
      </c>
      <c r="G247" s="379">
        <f t="shared" si="62"/>
        <v>158903.73000000001</v>
      </c>
      <c r="H247" s="380">
        <f t="shared" si="63"/>
        <v>-0.11518754153851517</v>
      </c>
      <c r="I247" s="379"/>
    </row>
    <row r="248" spans="2:9" x14ac:dyDescent="0.25">
      <c r="B248" s="666">
        <v>42641</v>
      </c>
      <c r="C248" s="378">
        <v>9278</v>
      </c>
      <c r="D248" s="667">
        <v>15.968</v>
      </c>
      <c r="E248" s="379">
        <v>15.18</v>
      </c>
      <c r="F248" s="379">
        <f t="shared" si="61"/>
        <v>-7311.0640000000021</v>
      </c>
      <c r="G248" s="379">
        <f t="shared" si="62"/>
        <v>148151.10399999999</v>
      </c>
      <c r="H248" s="380">
        <f t="shared" si="63"/>
        <v>-4.9348697394789594E-2</v>
      </c>
      <c r="I248" s="379" t="s">
        <v>299</v>
      </c>
    </row>
    <row r="249" spans="2:9" x14ac:dyDescent="0.25">
      <c r="B249" s="666">
        <v>42641</v>
      </c>
      <c r="C249" s="378">
        <v>8978</v>
      </c>
      <c r="D249" s="667">
        <v>15.991466000000001</v>
      </c>
      <c r="E249" s="379">
        <v>15.18</v>
      </c>
      <c r="F249" s="379">
        <f t="shared" si="61"/>
        <v>-7285.3417480000098</v>
      </c>
      <c r="G249" s="379">
        <f t="shared" si="62"/>
        <v>143571.38174800001</v>
      </c>
      <c r="H249" s="380">
        <f t="shared" si="63"/>
        <v>-5.0743690415875634E-2</v>
      </c>
      <c r="I249" s="379"/>
    </row>
    <row r="250" spans="2:9" x14ac:dyDescent="0.25">
      <c r="B250" s="666">
        <v>42642</v>
      </c>
      <c r="C250" s="378">
        <v>8678</v>
      </c>
      <c r="D250" s="667">
        <v>16.016100000000002</v>
      </c>
      <c r="E250" s="379">
        <v>15.9</v>
      </c>
      <c r="F250" s="379">
        <f t="shared" si="61"/>
        <v>-1007.5158000000105</v>
      </c>
      <c r="G250" s="379">
        <f t="shared" si="62"/>
        <v>138987.71580000001</v>
      </c>
      <c r="H250" s="380">
        <f t="shared" si="63"/>
        <v>-7.2489557382884214E-3</v>
      </c>
      <c r="I250" s="379"/>
    </row>
    <row r="251" spans="2:9" x14ac:dyDescent="0.25">
      <c r="B251" s="666">
        <v>42642</v>
      </c>
      <c r="C251" s="378">
        <v>7978</v>
      </c>
      <c r="D251" s="667">
        <v>16.036825</v>
      </c>
      <c r="E251" s="379">
        <v>15.9</v>
      </c>
      <c r="F251" s="379">
        <f t="shared" si="61"/>
        <v>-1091.5898499999998</v>
      </c>
      <c r="G251" s="379">
        <f t="shared" si="62"/>
        <v>127941.78985</v>
      </c>
      <c r="H251" s="380">
        <f t="shared" si="63"/>
        <v>-8.5319257396648009E-3</v>
      </c>
      <c r="I251" s="379"/>
    </row>
    <row r="252" spans="2:9" x14ac:dyDescent="0.25">
      <c r="B252" s="666">
        <v>42642</v>
      </c>
      <c r="C252" s="378">
        <v>7764</v>
      </c>
      <c r="D252" s="667">
        <v>16.038399999999999</v>
      </c>
      <c r="E252" s="379">
        <v>15.9</v>
      </c>
      <c r="F252" s="379">
        <f t="shared" si="61"/>
        <v>-1074.5375999999919</v>
      </c>
      <c r="G252" s="379">
        <f t="shared" si="62"/>
        <v>124522.1376</v>
      </c>
      <c r="H252" s="380">
        <f t="shared" si="63"/>
        <v>-8.6292897047086353E-3</v>
      </c>
      <c r="I252" s="379"/>
    </row>
    <row r="253" spans="2:9" x14ac:dyDescent="0.25">
      <c r="B253" s="666">
        <v>42642</v>
      </c>
      <c r="C253" s="378">
        <v>8178</v>
      </c>
      <c r="D253" s="667">
        <v>16.019235999999999</v>
      </c>
      <c r="E253" s="379">
        <v>15.9</v>
      </c>
      <c r="F253" s="379">
        <f t="shared" si="61"/>
        <v>-975.11200799999187</v>
      </c>
      <c r="G253" s="379">
        <f t="shared" si="62"/>
        <v>131005.31200799999</v>
      </c>
      <c r="H253" s="380">
        <f t="shared" si="63"/>
        <v>-7.4433012910228059E-3</v>
      </c>
      <c r="I253" s="379" t="s">
        <v>300</v>
      </c>
    </row>
    <row r="254" spans="2:9" x14ac:dyDescent="0.25">
      <c r="B254" s="666">
        <v>42643</v>
      </c>
      <c r="C254" s="378">
        <v>8178</v>
      </c>
      <c r="D254" s="667">
        <v>16.019235999999999</v>
      </c>
      <c r="E254" s="379">
        <v>15.81</v>
      </c>
      <c r="F254" s="379">
        <f>C254*(E254-D254)</f>
        <v>-1711.1320079999907</v>
      </c>
      <c r="G254" s="379">
        <f>IF(C254=0, 0,D254*C254)</f>
        <v>131005.31200799999</v>
      </c>
      <c r="H254" s="380">
        <f>IF(C254=0, D254, (E254-D254)/D254)</f>
        <v>-1.3061546755413234E-2</v>
      </c>
      <c r="I254" s="379"/>
    </row>
    <row r="255" spans="2:9" x14ac:dyDescent="0.25">
      <c r="B255" s="666">
        <v>42646</v>
      </c>
      <c r="C255" s="378">
        <v>8178</v>
      </c>
      <c r="D255" s="667">
        <v>16.019235999999999</v>
      </c>
      <c r="E255" s="379">
        <v>15.98</v>
      </c>
      <c r="F255" s="379">
        <f t="shared" ref="F255:F264" si="64">C255*(E255-D255)</f>
        <v>-320.8720079999913</v>
      </c>
      <c r="G255" s="379">
        <f t="shared" ref="G255:G264" si="65">IF(C255=0, 0,D255*C255)</f>
        <v>131005.31200799999</v>
      </c>
      <c r="H255" s="380">
        <f t="shared" ref="H255:H264" si="66">IF(C255=0, D255, (E255-D255)/D255)</f>
        <v>-2.4493053226757469E-3</v>
      </c>
      <c r="I255" s="379"/>
    </row>
    <row r="256" spans="2:9" x14ac:dyDescent="0.25">
      <c r="B256" s="666">
        <v>42647</v>
      </c>
      <c r="C256" s="378">
        <v>8678</v>
      </c>
      <c r="D256" s="667">
        <v>16.010061</v>
      </c>
      <c r="E256" s="379">
        <v>15.63</v>
      </c>
      <c r="F256" s="379">
        <f t="shared" si="64"/>
        <v>-3298.169357999996</v>
      </c>
      <c r="G256" s="379">
        <f t="shared" si="65"/>
        <v>138935.309358</v>
      </c>
      <c r="H256" s="380">
        <f t="shared" si="66"/>
        <v>-2.3738885192255015E-2</v>
      </c>
      <c r="I256" s="379"/>
    </row>
    <row r="257" spans="2:9" x14ac:dyDescent="0.25">
      <c r="B257" s="666">
        <v>42647</v>
      </c>
      <c r="C257" s="378">
        <v>9178</v>
      </c>
      <c r="D257" s="667">
        <v>15.988811</v>
      </c>
      <c r="E257" s="379">
        <v>15.63</v>
      </c>
      <c r="F257" s="379">
        <f t="shared" si="64"/>
        <v>-3293.1673579999938</v>
      </c>
      <c r="G257" s="379">
        <f t="shared" si="65"/>
        <v>146745.30735799999</v>
      </c>
      <c r="H257" s="380">
        <f t="shared" si="66"/>
        <v>-2.2441381038277287E-2</v>
      </c>
      <c r="I257" s="379"/>
    </row>
    <row r="258" spans="2:9" x14ac:dyDescent="0.25">
      <c r="B258" s="666">
        <v>42648</v>
      </c>
      <c r="C258" s="378">
        <v>8178</v>
      </c>
      <c r="D258" s="667">
        <v>15.977725</v>
      </c>
      <c r="E258" s="379">
        <v>16.12</v>
      </c>
      <c r="F258" s="379">
        <f t="shared" si="64"/>
        <v>1163.524950000012</v>
      </c>
      <c r="G258" s="379">
        <f t="shared" si="65"/>
        <v>130665.83504999999</v>
      </c>
      <c r="H258" s="380">
        <f t="shared" si="66"/>
        <v>8.904584351026288E-3</v>
      </c>
      <c r="I258" s="379">
        <v>15.75</v>
      </c>
    </row>
    <row r="259" spans="2:9" x14ac:dyDescent="0.25">
      <c r="B259" s="666">
        <v>42648</v>
      </c>
      <c r="C259" s="399">
        <v>7678</v>
      </c>
      <c r="D259" s="668">
        <v>15.951529000000001</v>
      </c>
      <c r="E259" s="379">
        <v>16.12</v>
      </c>
      <c r="F259" s="379">
        <f t="shared" si="64"/>
        <v>1293.5203380000021</v>
      </c>
      <c r="G259" s="379">
        <f t="shared" si="65"/>
        <v>122475.839662</v>
      </c>
      <c r="H259" s="380">
        <f t="shared" si="66"/>
        <v>1.0561432700275958E-2</v>
      </c>
      <c r="I259" s="379" t="s">
        <v>304</v>
      </c>
    </row>
    <row r="260" spans="2:9" x14ac:dyDescent="0.25">
      <c r="B260" s="666">
        <v>42649</v>
      </c>
      <c r="C260" s="378">
        <v>8678</v>
      </c>
      <c r="D260" s="667">
        <v>15.941579000000001</v>
      </c>
      <c r="E260" s="379">
        <v>16.079999999999998</v>
      </c>
      <c r="F260" s="379">
        <f t="shared" si="64"/>
        <v>1201.2174379999781</v>
      </c>
      <c r="G260" s="379">
        <f t="shared" si="65"/>
        <v>138341.022562</v>
      </c>
      <c r="H260" s="380">
        <f t="shared" si="66"/>
        <v>8.683016908174369E-3</v>
      </c>
      <c r="I260" s="379"/>
    </row>
    <row r="261" spans="2:9" x14ac:dyDescent="0.25">
      <c r="B261" s="666">
        <v>42650</v>
      </c>
      <c r="C261" s="378">
        <v>8978</v>
      </c>
      <c r="D261" s="667">
        <v>15.935176999999999</v>
      </c>
      <c r="E261" s="379">
        <v>15.56</v>
      </c>
      <c r="F261" s="379">
        <f t="shared" si="64"/>
        <v>-3368.3391059999908</v>
      </c>
      <c r="G261" s="379">
        <f t="shared" si="65"/>
        <v>143066.01910599999</v>
      </c>
      <c r="H261" s="380">
        <f t="shared" si="66"/>
        <v>-2.354394933925108E-2</v>
      </c>
      <c r="I261" s="379"/>
    </row>
    <row r="262" spans="2:9" x14ac:dyDescent="0.25">
      <c r="B262" s="666">
        <v>42650</v>
      </c>
      <c r="C262" s="378">
        <v>9278</v>
      </c>
      <c r="D262" s="667">
        <v>15.923692000000001</v>
      </c>
      <c r="E262" s="379">
        <v>15.56</v>
      </c>
      <c r="F262" s="379">
        <f t="shared" si="64"/>
        <v>-3374.3343760000034</v>
      </c>
      <c r="G262" s="379">
        <f t="shared" si="65"/>
        <v>147740.01437600001</v>
      </c>
      <c r="H262" s="380">
        <f t="shared" si="66"/>
        <v>-2.2839678134945106E-2</v>
      </c>
      <c r="I262" s="379">
        <v>15.8</v>
      </c>
    </row>
    <row r="263" spans="2:9" x14ac:dyDescent="0.25">
      <c r="B263" s="666">
        <v>42653</v>
      </c>
      <c r="C263" s="399">
        <v>9678</v>
      </c>
      <c r="D263" s="668">
        <v>15.9153</v>
      </c>
      <c r="E263" s="379">
        <v>15.72</v>
      </c>
      <c r="F263" s="379">
        <f t="shared" si="64"/>
        <v>-1890.1133999999961</v>
      </c>
      <c r="G263" s="379">
        <f t="shared" si="65"/>
        <v>154028.27340000001</v>
      </c>
      <c r="H263" s="380">
        <f t="shared" si="66"/>
        <v>-1.2271210721758281E-2</v>
      </c>
      <c r="I263" s="379"/>
    </row>
    <row r="264" spans="2:9" x14ac:dyDescent="0.25">
      <c r="B264" s="666">
        <v>42661</v>
      </c>
      <c r="C264" s="399">
        <v>10000</v>
      </c>
      <c r="D264" s="668">
        <v>15.901258</v>
      </c>
      <c r="E264" s="379">
        <v>14.2</v>
      </c>
      <c r="F264" s="379">
        <f t="shared" si="64"/>
        <v>-17012.580000000009</v>
      </c>
      <c r="G264" s="379">
        <f t="shared" si="65"/>
        <v>159012.58000000002</v>
      </c>
      <c r="H264" s="380">
        <f t="shared" si="66"/>
        <v>-0.10698889358313669</v>
      </c>
      <c r="I264" s="379"/>
    </row>
    <row r="265" spans="2:9" x14ac:dyDescent="0.25">
      <c r="B265" s="666">
        <v>42663</v>
      </c>
      <c r="C265" s="378">
        <v>10000</v>
      </c>
      <c r="D265" s="667">
        <v>15.901258</v>
      </c>
      <c r="E265" s="379">
        <v>14.7</v>
      </c>
      <c r="F265" s="379">
        <f>C265*(E265-D265)</f>
        <v>-12012.580000000011</v>
      </c>
      <c r="G265" s="379">
        <f>IF(C265=0, 0,D265*C265)</f>
        <v>159012.58000000002</v>
      </c>
      <c r="H265" s="381">
        <f>IF(C265=0, D265, (E265-D265)/D265)</f>
        <v>-7.5544840540289399E-2</v>
      </c>
      <c r="I265" s="379"/>
    </row>
    <row r="266" spans="2:9" x14ac:dyDescent="0.25">
      <c r="B266" s="666">
        <v>42668</v>
      </c>
      <c r="C266" s="378">
        <v>11000</v>
      </c>
      <c r="D266" s="667">
        <v>15.74728</v>
      </c>
      <c r="E266" s="379">
        <v>14.18</v>
      </c>
      <c r="F266" s="379">
        <f>C266*(E266-D266)</f>
        <v>-17240.080000000002</v>
      </c>
      <c r="G266" s="379">
        <f>IF(C266=0, 0,D266*C266)</f>
        <v>173220.08</v>
      </c>
      <c r="H266" s="381">
        <f>IF(C266=0, D266, (E266-D266)/D266)</f>
        <v>-9.9527029429844413E-2</v>
      </c>
      <c r="I266" s="379"/>
    </row>
    <row r="267" spans="2:9" x14ac:dyDescent="0.25">
      <c r="B267" s="666">
        <v>42670</v>
      </c>
      <c r="C267" s="378">
        <v>11500</v>
      </c>
      <c r="D267" s="667">
        <v>15.679137000000001</v>
      </c>
      <c r="E267" s="379">
        <v>13.95</v>
      </c>
      <c r="F267" s="379">
        <f>C267*(E267-D267)</f>
        <v>-19885.075500000017</v>
      </c>
      <c r="G267" s="379">
        <f>IF(C267=0, 0,D267*C267)</f>
        <v>180310.07550000001</v>
      </c>
      <c r="H267" s="381">
        <f>IF(C267=0, D267, (E267-D267)/D267)</f>
        <v>-0.11028266415428357</v>
      </c>
      <c r="I267" s="379"/>
    </row>
    <row r="268" spans="2:9" x14ac:dyDescent="0.25">
      <c r="B268" s="666">
        <v>42670</v>
      </c>
      <c r="C268" s="378">
        <v>12000</v>
      </c>
      <c r="D268" s="667">
        <v>15.6113</v>
      </c>
      <c r="E268" s="379">
        <v>13.95</v>
      </c>
      <c r="F268" s="379">
        <f t="shared" ref="F268:F275" si="67">C268*(E268-D268)</f>
        <v>-19935.600000000009</v>
      </c>
      <c r="G268" s="379">
        <f t="shared" ref="G268:G275" si="68">IF(C268=0, 0,D268*C268)</f>
        <v>187335.6</v>
      </c>
      <c r="H268" s="381">
        <f t="shared" ref="H268:H275" si="69">IF(C268=0, D268, (E268-D268)/D268)</f>
        <v>-0.10641650599245422</v>
      </c>
      <c r="I268" s="379"/>
    </row>
    <row r="269" spans="2:9" x14ac:dyDescent="0.25">
      <c r="B269" s="666">
        <v>42670</v>
      </c>
      <c r="C269" s="378">
        <v>12500</v>
      </c>
      <c r="D269" s="667">
        <v>15.542006000000001</v>
      </c>
      <c r="E269" s="379">
        <v>13.95</v>
      </c>
      <c r="F269" s="379">
        <f t="shared" si="67"/>
        <v>-19900.075000000015</v>
      </c>
      <c r="G269" s="379">
        <f t="shared" si="68"/>
        <v>194275.07500000001</v>
      </c>
      <c r="H269" s="381">
        <f t="shared" si="69"/>
        <v>-0.10243246592492637</v>
      </c>
      <c r="I269" s="379"/>
    </row>
    <row r="270" spans="2:9" x14ac:dyDescent="0.25">
      <c r="B270" s="666">
        <v>42671</v>
      </c>
      <c r="C270" s="378">
        <v>12500</v>
      </c>
      <c r="D270" s="667">
        <v>15.536431</v>
      </c>
      <c r="E270" s="379">
        <v>13.72</v>
      </c>
      <c r="F270" s="379">
        <f t="shared" si="67"/>
        <v>-22705.387499999997</v>
      </c>
      <c r="G270" s="379">
        <f t="shared" si="68"/>
        <v>194205.38750000001</v>
      </c>
      <c r="H270" s="381">
        <f t="shared" si="69"/>
        <v>-0.11691430290521676</v>
      </c>
      <c r="I270" s="379"/>
    </row>
    <row r="271" spans="2:9" x14ac:dyDescent="0.25">
      <c r="B271" s="666">
        <v>42674</v>
      </c>
      <c r="C271" s="378">
        <v>12500</v>
      </c>
      <c r="D271" s="667">
        <v>15.5313</v>
      </c>
      <c r="E271" s="379">
        <v>13.18</v>
      </c>
      <c r="F271" s="379">
        <f t="shared" si="67"/>
        <v>-29391.250000000004</v>
      </c>
      <c r="G271" s="379">
        <f t="shared" si="68"/>
        <v>194141.25</v>
      </c>
      <c r="H271" s="381">
        <f t="shared" si="69"/>
        <v>-0.15139106192012261</v>
      </c>
      <c r="I271" s="379"/>
    </row>
    <row r="272" spans="2:9" x14ac:dyDescent="0.25">
      <c r="B272" s="666">
        <v>42676</v>
      </c>
      <c r="C272" s="378">
        <v>12500</v>
      </c>
      <c r="D272" s="667">
        <v>15.528746</v>
      </c>
      <c r="E272" s="379">
        <v>12.78</v>
      </c>
      <c r="F272" s="379">
        <f t="shared" si="67"/>
        <v>-34359.325000000004</v>
      </c>
      <c r="G272" s="379">
        <f t="shared" si="68"/>
        <v>194109.32500000001</v>
      </c>
      <c r="H272" s="380">
        <f t="shared" si="69"/>
        <v>-0.17701017197396368</v>
      </c>
      <c r="I272" s="379"/>
    </row>
    <row r="273" spans="2:10" x14ac:dyDescent="0.25">
      <c r="B273" s="666">
        <v>42677</v>
      </c>
      <c r="C273" s="378">
        <v>10000</v>
      </c>
      <c r="D273" s="667">
        <v>15.813000000000001</v>
      </c>
      <c r="E273" s="379">
        <v>14.15</v>
      </c>
      <c r="F273" s="379">
        <f t="shared" si="67"/>
        <v>-16630.000000000004</v>
      </c>
      <c r="G273" s="379">
        <f t="shared" si="68"/>
        <v>158130</v>
      </c>
      <c r="H273" s="380">
        <f t="shared" si="69"/>
        <v>-0.10516663504711314</v>
      </c>
      <c r="I273" s="379"/>
    </row>
    <row r="274" spans="2:10" x14ac:dyDescent="0.25">
      <c r="B274" s="666">
        <v>42678</v>
      </c>
      <c r="C274" s="378">
        <v>11000</v>
      </c>
      <c r="D274" s="667">
        <v>15.62</v>
      </c>
      <c r="E274" s="379">
        <v>13.69</v>
      </c>
      <c r="F274" s="379">
        <f t="shared" si="67"/>
        <v>-21229.999999999996</v>
      </c>
      <c r="G274" s="379">
        <f t="shared" si="68"/>
        <v>171820</v>
      </c>
      <c r="H274" s="380">
        <f t="shared" si="69"/>
        <v>-0.12355953905249678</v>
      </c>
      <c r="I274" s="379"/>
    </row>
    <row r="275" spans="2:10" x14ac:dyDescent="0.25">
      <c r="B275" s="666">
        <v>42701</v>
      </c>
      <c r="C275" s="378">
        <v>7678</v>
      </c>
      <c r="D275" s="667">
        <v>15.484220000000001</v>
      </c>
      <c r="E275" s="379">
        <v>16.28</v>
      </c>
      <c r="F275" s="379">
        <f t="shared" si="67"/>
        <v>6109.9988400000047</v>
      </c>
      <c r="G275" s="379">
        <f t="shared" si="68"/>
        <v>118887.84116000001</v>
      </c>
      <c r="H275" s="380">
        <f t="shared" si="69"/>
        <v>5.1392966516879801E-2</v>
      </c>
      <c r="I275" s="379" t="s">
        <v>317</v>
      </c>
    </row>
    <row r="276" spans="2:10" x14ac:dyDescent="0.25">
      <c r="B276" s="666">
        <v>42702</v>
      </c>
      <c r="C276" s="378">
        <v>8178</v>
      </c>
      <c r="D276" s="667">
        <v>15.519399999999999</v>
      </c>
      <c r="E276" s="379">
        <v>15.62</v>
      </c>
      <c r="F276" s="379">
        <f t="shared" ref="F276:F293" si="70">C276*(E276-D276)</f>
        <v>822.70680000000016</v>
      </c>
      <c r="G276" s="379">
        <f t="shared" ref="G276:G293" si="71">IF(C276=0, 0,D276*C276)</f>
        <v>126917.6532</v>
      </c>
      <c r="H276" s="380">
        <f t="shared" ref="H276:H293" si="72">IF(C276=0, D276, (E276-D276)/D276)</f>
        <v>6.4822093637640649E-3</v>
      </c>
      <c r="I276" s="379" t="s">
        <v>323</v>
      </c>
    </row>
    <row r="277" spans="2:10" x14ac:dyDescent="0.25">
      <c r="B277" s="666">
        <v>42702</v>
      </c>
      <c r="C277" s="378">
        <v>8678</v>
      </c>
      <c r="D277" s="667">
        <v>15.5304</v>
      </c>
      <c r="E277" s="379">
        <v>15.54</v>
      </c>
      <c r="F277" s="379">
        <f t="shared" si="70"/>
        <v>83.308799999990825</v>
      </c>
      <c r="G277" s="379">
        <f t="shared" si="71"/>
        <v>134772.8112</v>
      </c>
      <c r="H277" s="380">
        <f t="shared" si="72"/>
        <v>6.1814248184199655E-4</v>
      </c>
      <c r="I277" s="379"/>
    </row>
    <row r="278" spans="2:10" x14ac:dyDescent="0.25">
      <c r="B278" s="666">
        <v>42703</v>
      </c>
      <c r="C278" s="378">
        <v>8978</v>
      </c>
      <c r="D278" s="667">
        <v>15.5053</v>
      </c>
      <c r="E278" s="379">
        <v>14.95</v>
      </c>
      <c r="F278" s="379">
        <f t="shared" si="70"/>
        <v>-4985.4834000000074</v>
      </c>
      <c r="G278" s="379">
        <f t="shared" si="71"/>
        <v>139206.5834</v>
      </c>
      <c r="H278" s="380">
        <f t="shared" si="72"/>
        <v>-3.5813560524465882E-2</v>
      </c>
      <c r="I278" s="379"/>
    </row>
    <row r="279" spans="2:10" x14ac:dyDescent="0.25">
      <c r="B279" s="666">
        <v>42704</v>
      </c>
      <c r="C279" s="378">
        <v>5178</v>
      </c>
      <c r="D279" s="667">
        <v>14.3947</v>
      </c>
      <c r="E279" s="379">
        <v>18.059999999999999</v>
      </c>
      <c r="F279" s="379">
        <f t="shared" si="70"/>
        <v>18978.923399999992</v>
      </c>
      <c r="G279" s="379">
        <f t="shared" si="71"/>
        <v>74535.756600000008</v>
      </c>
      <c r="H279" s="380">
        <f t="shared" si="72"/>
        <v>0.25462843963403187</v>
      </c>
      <c r="I279" s="379"/>
    </row>
    <row r="280" spans="2:10" x14ac:dyDescent="0.25">
      <c r="B280" s="666">
        <v>42705</v>
      </c>
      <c r="C280" s="378">
        <v>4678</v>
      </c>
      <c r="D280" s="667">
        <v>13.905799999999999</v>
      </c>
      <c r="E280" s="379">
        <v>17.89</v>
      </c>
      <c r="F280" s="379">
        <f t="shared" si="70"/>
        <v>18638.087600000006</v>
      </c>
      <c r="G280" s="379">
        <f t="shared" si="71"/>
        <v>65051.332399999999</v>
      </c>
      <c r="H280" s="380">
        <f t="shared" si="72"/>
        <v>0.28651354111234173</v>
      </c>
      <c r="I280" s="379"/>
    </row>
    <row r="281" spans="2:10" x14ac:dyDescent="0.25">
      <c r="B281" s="666">
        <v>42705</v>
      </c>
      <c r="C281" s="378">
        <v>5000</v>
      </c>
      <c r="D281" s="667">
        <v>14.1645</v>
      </c>
      <c r="E281" s="379">
        <v>17.89</v>
      </c>
      <c r="F281" s="379">
        <f t="shared" si="70"/>
        <v>18627.5</v>
      </c>
      <c r="G281" s="379">
        <f t="shared" si="71"/>
        <v>70822.5</v>
      </c>
      <c r="H281" s="380">
        <f t="shared" si="72"/>
        <v>0.2630166966712556</v>
      </c>
      <c r="I281" s="379"/>
    </row>
    <row r="282" spans="2:10" x14ac:dyDescent="0.25">
      <c r="B282" s="666">
        <v>42708</v>
      </c>
      <c r="C282" s="378">
        <v>5000</v>
      </c>
      <c r="D282" s="667">
        <v>14.1645</v>
      </c>
      <c r="E282" s="379">
        <v>18.2</v>
      </c>
      <c r="F282" s="379">
        <f t="shared" si="70"/>
        <v>20177.499999999996</v>
      </c>
      <c r="G282" s="379">
        <f t="shared" si="71"/>
        <v>70822.5</v>
      </c>
      <c r="H282" s="380">
        <f t="shared" si="72"/>
        <v>0.28490239683716323</v>
      </c>
      <c r="I282" s="379"/>
    </row>
    <row r="283" spans="2:10" x14ac:dyDescent="0.25">
      <c r="B283" s="666">
        <v>42711</v>
      </c>
      <c r="C283" s="378">
        <v>5000</v>
      </c>
      <c r="D283" s="667">
        <v>14.143514</v>
      </c>
      <c r="E283" s="379">
        <v>18.420000000000002</v>
      </c>
      <c r="F283" s="379">
        <f t="shared" si="70"/>
        <v>21382.430000000011</v>
      </c>
      <c r="G283" s="379">
        <f t="shared" si="71"/>
        <v>70717.569999999992</v>
      </c>
      <c r="H283" s="380">
        <f t="shared" si="72"/>
        <v>0.3023637548631834</v>
      </c>
      <c r="I283" s="379"/>
    </row>
    <row r="284" spans="2:10" x14ac:dyDescent="0.25">
      <c r="B284" s="666">
        <v>42713</v>
      </c>
      <c r="C284" s="378">
        <v>5000</v>
      </c>
      <c r="D284" s="667">
        <v>14.127554</v>
      </c>
      <c r="E284" s="379">
        <v>18.25</v>
      </c>
      <c r="F284" s="379">
        <f t="shared" si="70"/>
        <v>20612.23</v>
      </c>
      <c r="G284" s="379">
        <f t="shared" si="71"/>
        <v>70637.77</v>
      </c>
      <c r="H284" s="380">
        <f t="shared" si="72"/>
        <v>0.29180182216964096</v>
      </c>
      <c r="I284" s="379"/>
    </row>
    <row r="285" spans="2:10" x14ac:dyDescent="0.25">
      <c r="B285" s="666">
        <v>42716</v>
      </c>
      <c r="C285" s="378">
        <v>5000</v>
      </c>
      <c r="D285" s="667">
        <v>14.0276</v>
      </c>
      <c r="E285" s="379">
        <v>18.489999999999998</v>
      </c>
      <c r="F285" s="379">
        <f t="shared" si="70"/>
        <v>22311.999999999993</v>
      </c>
      <c r="G285" s="379">
        <f t="shared" si="71"/>
        <v>70138</v>
      </c>
      <c r="H285" s="380">
        <f t="shared" si="72"/>
        <v>0.3181157147338104</v>
      </c>
      <c r="I285" s="379" t="s">
        <v>188</v>
      </c>
    </row>
    <row r="286" spans="2:10" x14ac:dyDescent="0.25">
      <c r="B286" s="666">
        <v>42718</v>
      </c>
      <c r="C286" s="378">
        <v>5000</v>
      </c>
      <c r="D286" s="667">
        <v>14.025399999999999</v>
      </c>
      <c r="E286" s="379">
        <v>18.2</v>
      </c>
      <c r="F286" s="379">
        <f t="shared" si="70"/>
        <v>20873</v>
      </c>
      <c r="G286" s="379">
        <f t="shared" si="71"/>
        <v>70127</v>
      </c>
      <c r="H286" s="380">
        <f t="shared" si="72"/>
        <v>0.29764569994438661</v>
      </c>
      <c r="I286" s="379">
        <v>13.8</v>
      </c>
    </row>
    <row r="287" spans="2:10" x14ac:dyDescent="0.25">
      <c r="B287" s="666">
        <v>42726</v>
      </c>
      <c r="C287" s="378">
        <v>5000</v>
      </c>
      <c r="D287" s="667">
        <v>14.025399999999999</v>
      </c>
      <c r="E287" s="379">
        <v>18.04</v>
      </c>
      <c r="F287" s="379">
        <f t="shared" si="70"/>
        <v>20073</v>
      </c>
      <c r="G287" s="379">
        <f t="shared" si="71"/>
        <v>70127</v>
      </c>
      <c r="H287" s="380">
        <f t="shared" si="72"/>
        <v>0.28623782565916123</v>
      </c>
      <c r="I287" s="379"/>
    </row>
    <row r="288" spans="2:10" x14ac:dyDescent="0.25">
      <c r="B288" s="666">
        <v>42733</v>
      </c>
      <c r="C288" s="378">
        <v>6000</v>
      </c>
      <c r="D288" s="667">
        <v>14.627558000000001</v>
      </c>
      <c r="E288" s="379">
        <v>17.57</v>
      </c>
      <c r="F288" s="466">
        <f t="shared" si="70"/>
        <v>17654.651999999998</v>
      </c>
      <c r="G288" s="379">
        <f t="shared" si="71"/>
        <v>87765.347999999998</v>
      </c>
      <c r="H288" s="381">
        <f t="shared" si="72"/>
        <v>0.20115743174629694</v>
      </c>
      <c r="I288" s="379"/>
      <c r="J288" s="3"/>
    </row>
    <row r="289" spans="1:9" x14ac:dyDescent="0.25">
      <c r="B289" s="666">
        <v>42734</v>
      </c>
      <c r="C289" s="378">
        <v>6000</v>
      </c>
      <c r="D289" s="667">
        <v>14.562623</v>
      </c>
      <c r="E289" s="379">
        <v>17.309999999999999</v>
      </c>
      <c r="F289" s="466">
        <f t="shared" si="70"/>
        <v>16484.261999999992</v>
      </c>
      <c r="G289" s="379">
        <f t="shared" si="71"/>
        <v>87375.737999999998</v>
      </c>
      <c r="H289" s="381">
        <f t="shared" si="72"/>
        <v>0.18865948806063293</v>
      </c>
      <c r="I289" s="379"/>
    </row>
    <row r="290" spans="1:9" x14ac:dyDescent="0.25">
      <c r="B290" s="666">
        <v>42739</v>
      </c>
      <c r="C290" s="378">
        <v>5500</v>
      </c>
      <c r="D290" s="667">
        <v>14.242898</v>
      </c>
      <c r="E290" s="379">
        <v>18.05</v>
      </c>
      <c r="F290" s="466">
        <f t="shared" si="70"/>
        <v>20939.061000000002</v>
      </c>
      <c r="G290" s="379">
        <f t="shared" si="71"/>
        <v>78335.938999999998</v>
      </c>
      <c r="H290" s="381">
        <f t="shared" si="72"/>
        <v>0.26729827033796072</v>
      </c>
      <c r="I290" s="379"/>
    </row>
    <row r="291" spans="1:9" x14ac:dyDescent="0.25">
      <c r="B291" s="666">
        <v>42741</v>
      </c>
      <c r="C291" s="378">
        <v>6000</v>
      </c>
      <c r="D291" s="667">
        <v>14.54599</v>
      </c>
      <c r="E291" s="379">
        <v>17.98</v>
      </c>
      <c r="F291" s="466">
        <f t="shared" si="70"/>
        <v>20604.060000000005</v>
      </c>
      <c r="G291" s="379">
        <f t="shared" si="71"/>
        <v>87275.94</v>
      </c>
      <c r="H291" s="381">
        <f t="shared" si="72"/>
        <v>0.23607949682352322</v>
      </c>
      <c r="I291" s="379"/>
    </row>
    <row r="292" spans="1:9" x14ac:dyDescent="0.25">
      <c r="B292" s="666">
        <v>42748</v>
      </c>
      <c r="C292" s="378">
        <v>6000</v>
      </c>
      <c r="D292" s="667">
        <v>14.527687999999999</v>
      </c>
      <c r="E292" s="379">
        <v>17.46</v>
      </c>
      <c r="F292" s="466">
        <f t="shared" si="70"/>
        <v>17593.872000000007</v>
      </c>
      <c r="G292" s="379">
        <f t="shared" si="71"/>
        <v>87166.127999999997</v>
      </c>
      <c r="H292" s="381">
        <f t="shared" si="72"/>
        <v>0.20184299112150547</v>
      </c>
      <c r="I292" s="379"/>
    </row>
    <row r="293" spans="1:9" x14ac:dyDescent="0.25">
      <c r="A293" s="234" t="s">
        <v>370</v>
      </c>
      <c r="B293" s="666">
        <v>42754</v>
      </c>
      <c r="C293" s="378">
        <v>6000</v>
      </c>
      <c r="D293" s="667">
        <v>14.527687999999999</v>
      </c>
      <c r="E293" s="379">
        <v>17.27</v>
      </c>
      <c r="F293" s="466">
        <f t="shared" si="70"/>
        <v>16453.871999999999</v>
      </c>
      <c r="G293" s="379">
        <f t="shared" si="71"/>
        <v>87166.127999999997</v>
      </c>
      <c r="H293" s="381">
        <f t="shared" si="72"/>
        <v>0.1887645164185795</v>
      </c>
      <c r="I293" s="379"/>
    </row>
    <row r="294" spans="1:9" x14ac:dyDescent="0.25">
      <c r="A294" t="s">
        <v>370</v>
      </c>
      <c r="B294" s="666">
        <v>42760</v>
      </c>
      <c r="C294" s="378">
        <v>6000</v>
      </c>
      <c r="D294" s="667">
        <v>14.527687999999999</v>
      </c>
      <c r="E294" s="379">
        <v>17.75</v>
      </c>
      <c r="F294" s="466">
        <f t="shared" ref="F294:F308" si="73">C294*(E294-D294)</f>
        <v>19333.872000000003</v>
      </c>
      <c r="G294" s="379">
        <f t="shared" ref="G294:G308" si="74">IF(C294=0, 0,D294*C294)</f>
        <v>87166.127999999997</v>
      </c>
      <c r="H294" s="381">
        <f t="shared" ref="H294:H308" si="75">IF(C294=0, D294, (E294-D294)/D294)</f>
        <v>0.22180487356281334</v>
      </c>
      <c r="I294" s="379"/>
    </row>
    <row r="295" spans="1:9" x14ac:dyDescent="0.25">
      <c r="A295" t="s">
        <v>407</v>
      </c>
      <c r="B295" s="666">
        <v>42761</v>
      </c>
      <c r="C295" s="378">
        <v>6000</v>
      </c>
      <c r="D295" s="667">
        <v>14.50817</v>
      </c>
      <c r="E295" s="379">
        <v>17.75</v>
      </c>
      <c r="F295" s="466">
        <f t="shared" si="73"/>
        <v>19450.98</v>
      </c>
      <c r="G295" s="379">
        <f t="shared" si="74"/>
        <v>87049.02</v>
      </c>
      <c r="H295" s="381">
        <f t="shared" si="75"/>
        <v>0.22344858104088938</v>
      </c>
      <c r="I295" s="379"/>
    </row>
    <row r="296" spans="1:9" x14ac:dyDescent="0.25">
      <c r="A296" t="s">
        <v>411</v>
      </c>
      <c r="B296" s="666">
        <v>42762</v>
      </c>
      <c r="C296" s="378">
        <v>6100</v>
      </c>
      <c r="D296" s="667">
        <v>14.553610000000001</v>
      </c>
      <c r="E296" s="379">
        <v>17.41</v>
      </c>
      <c r="F296" s="466">
        <f t="shared" si="73"/>
        <v>17423.978999999996</v>
      </c>
      <c r="G296" s="379">
        <f t="shared" si="74"/>
        <v>88777.021000000008</v>
      </c>
      <c r="H296" s="381">
        <f t="shared" si="75"/>
        <v>0.19626676817641803</v>
      </c>
      <c r="I296" s="379"/>
    </row>
    <row r="297" spans="1:9" x14ac:dyDescent="0.25">
      <c r="A297" t="s">
        <v>423</v>
      </c>
      <c r="B297" s="666">
        <v>42765</v>
      </c>
      <c r="C297" s="378">
        <v>6900</v>
      </c>
      <c r="D297" s="667">
        <v>14.793915999999999</v>
      </c>
      <c r="E297" s="379">
        <v>16.53</v>
      </c>
      <c r="F297" s="466">
        <f t="shared" si="73"/>
        <v>11978.979600000011</v>
      </c>
      <c r="G297" s="379">
        <f t="shared" si="74"/>
        <v>102078.02039999999</v>
      </c>
      <c r="H297" s="381">
        <f t="shared" si="75"/>
        <v>0.11735121383682331</v>
      </c>
      <c r="I297" s="379"/>
    </row>
    <row r="298" spans="1:9" x14ac:dyDescent="0.25">
      <c r="A298" t="s">
        <v>424</v>
      </c>
      <c r="B298" s="666">
        <v>42766</v>
      </c>
      <c r="C298" s="378">
        <v>6900</v>
      </c>
      <c r="D298" s="667">
        <v>14.783497000000001</v>
      </c>
      <c r="E298" s="379">
        <v>16.75</v>
      </c>
      <c r="F298" s="466">
        <f t="shared" si="73"/>
        <v>13568.870699999996</v>
      </c>
      <c r="G298" s="379">
        <f t="shared" si="74"/>
        <v>102006.1293</v>
      </c>
      <c r="H298" s="381">
        <f t="shared" si="75"/>
        <v>0.13302015078029233</v>
      </c>
      <c r="I298" s="379"/>
    </row>
    <row r="299" spans="1:9" x14ac:dyDescent="0.25">
      <c r="B299" s="666">
        <v>42767</v>
      </c>
      <c r="C299" s="378">
        <v>6000</v>
      </c>
      <c r="D299" s="667">
        <v>14.442175000000001</v>
      </c>
      <c r="E299" s="379">
        <v>16.59</v>
      </c>
      <c r="F299" s="466">
        <f t="shared" si="73"/>
        <v>12886.949999999995</v>
      </c>
      <c r="G299" s="379">
        <f t="shared" si="74"/>
        <v>86653.05</v>
      </c>
      <c r="H299" s="381">
        <f t="shared" si="75"/>
        <v>0.14871894295699914</v>
      </c>
      <c r="I299" s="379"/>
    </row>
    <row r="300" spans="1:9" x14ac:dyDescent="0.25">
      <c r="B300" s="666">
        <v>42767</v>
      </c>
      <c r="C300" s="378">
        <v>7000</v>
      </c>
      <c r="D300" s="667">
        <v>14.725436</v>
      </c>
      <c r="E300" s="379">
        <v>16.59</v>
      </c>
      <c r="F300" s="466">
        <f t="shared" si="73"/>
        <v>13051.947999999999</v>
      </c>
      <c r="G300" s="379">
        <f t="shared" si="74"/>
        <v>103078.052</v>
      </c>
      <c r="H300" s="381">
        <f t="shared" si="75"/>
        <v>0.1266219893251378</v>
      </c>
      <c r="I300" s="379"/>
    </row>
    <row r="301" spans="1:9" x14ac:dyDescent="0.25">
      <c r="B301" s="666">
        <v>42767</v>
      </c>
      <c r="C301" s="378">
        <v>7200</v>
      </c>
      <c r="D301" s="667">
        <v>14.771951</v>
      </c>
      <c r="E301" s="379">
        <v>16.59</v>
      </c>
      <c r="F301" s="466">
        <f t="shared" si="73"/>
        <v>13089.952800000001</v>
      </c>
      <c r="G301" s="379">
        <f t="shared" si="74"/>
        <v>106358.0472</v>
      </c>
      <c r="H301" s="381">
        <f t="shared" si="75"/>
        <v>0.12307439958337259</v>
      </c>
      <c r="I301" s="379"/>
    </row>
    <row r="302" spans="1:9" x14ac:dyDescent="0.25">
      <c r="A302" t="s">
        <v>428</v>
      </c>
      <c r="B302" s="666">
        <v>42767</v>
      </c>
      <c r="C302" s="378">
        <v>6500</v>
      </c>
      <c r="D302" s="667">
        <v>14.578353999999999</v>
      </c>
      <c r="E302" s="379">
        <v>16.59</v>
      </c>
      <c r="F302" s="466">
        <f t="shared" si="73"/>
        <v>13075.699000000004</v>
      </c>
      <c r="G302" s="379">
        <f t="shared" si="74"/>
        <v>94759.300999999992</v>
      </c>
      <c r="H302" s="381">
        <f t="shared" si="75"/>
        <v>0.13798855481215511</v>
      </c>
      <c r="I302" s="379"/>
    </row>
    <row r="303" spans="1:9" x14ac:dyDescent="0.25">
      <c r="A303" t="s">
        <v>431</v>
      </c>
      <c r="B303" s="666">
        <v>42768</v>
      </c>
      <c r="C303" s="378">
        <v>6000</v>
      </c>
      <c r="D303" s="667">
        <v>14.368788</v>
      </c>
      <c r="E303" s="379">
        <v>16.68</v>
      </c>
      <c r="F303" s="466">
        <f t="shared" si="73"/>
        <v>13867.271999999995</v>
      </c>
      <c r="G303" s="379">
        <f>IF(C303=0, 0,D303*C303)</f>
        <v>86212.728000000003</v>
      </c>
      <c r="H303" s="381">
        <f t="shared" si="75"/>
        <v>0.16084947456946261</v>
      </c>
      <c r="I303" s="379"/>
    </row>
    <row r="304" spans="1:9" ht="15" customHeight="1" x14ac:dyDescent="0.25">
      <c r="A304" t="s">
        <v>440</v>
      </c>
      <c r="B304" s="666">
        <v>42769</v>
      </c>
      <c r="C304" s="378">
        <v>5300</v>
      </c>
      <c r="D304" s="667">
        <v>14.006677</v>
      </c>
      <c r="E304" s="379">
        <v>17.23</v>
      </c>
      <c r="F304" s="466">
        <f t="shared" si="73"/>
        <v>17083.611900000004</v>
      </c>
      <c r="G304" s="379">
        <f t="shared" si="74"/>
        <v>74235.388099999996</v>
      </c>
      <c r="H304" s="381">
        <f t="shared" si="75"/>
        <v>0.2301276027140485</v>
      </c>
      <c r="I304" s="379"/>
    </row>
    <row r="305" spans="1:13" x14ac:dyDescent="0.25">
      <c r="A305" t="s">
        <v>452</v>
      </c>
      <c r="B305" s="666">
        <v>42772</v>
      </c>
      <c r="C305" s="378">
        <v>6000</v>
      </c>
      <c r="D305" s="667">
        <v>14.311230999999999</v>
      </c>
      <c r="E305" s="379">
        <v>16.52</v>
      </c>
      <c r="F305" s="466">
        <f t="shared" si="73"/>
        <v>13252.614000000001</v>
      </c>
      <c r="G305" s="379">
        <f t="shared" si="74"/>
        <v>85867.385999999999</v>
      </c>
      <c r="H305" s="381">
        <f t="shared" si="75"/>
        <v>0.15433815581622576</v>
      </c>
      <c r="I305" s="379"/>
    </row>
    <row r="306" spans="1:13" x14ac:dyDescent="0.25">
      <c r="A306" t="s">
        <v>457</v>
      </c>
      <c r="B306" s="666">
        <v>42773</v>
      </c>
      <c r="C306" s="378">
        <v>6600</v>
      </c>
      <c r="D306" s="667">
        <v>14.461574000000001</v>
      </c>
      <c r="E306" s="379">
        <v>16.03</v>
      </c>
      <c r="F306" s="466">
        <f t="shared" si="73"/>
        <v>10351.611600000004</v>
      </c>
      <c r="G306" s="379">
        <f t="shared" si="74"/>
        <v>95446.388400000011</v>
      </c>
      <c r="H306" s="381">
        <f t="shared" si="75"/>
        <v>0.10845472283998965</v>
      </c>
      <c r="I306" s="379"/>
    </row>
    <row r="307" spans="1:13" x14ac:dyDescent="0.25">
      <c r="A307" t="s">
        <v>488</v>
      </c>
      <c r="B307" s="666">
        <v>42781</v>
      </c>
      <c r="C307" s="378">
        <v>5700</v>
      </c>
      <c r="D307" s="667">
        <v>14.140828000000001</v>
      </c>
      <c r="E307" s="379">
        <v>16.3</v>
      </c>
      <c r="F307" s="466">
        <f t="shared" si="73"/>
        <v>12307.2804</v>
      </c>
      <c r="G307" s="379">
        <f t="shared" si="74"/>
        <v>80602.719600000011</v>
      </c>
      <c r="H307" s="381">
        <f t="shared" si="75"/>
        <v>0.1526906345229572</v>
      </c>
      <c r="I307" s="379"/>
    </row>
    <row r="308" spans="1:13" x14ac:dyDescent="0.25">
      <c r="A308" t="s">
        <v>490</v>
      </c>
      <c r="B308" s="666">
        <v>42782</v>
      </c>
      <c r="C308" s="378">
        <v>5700</v>
      </c>
      <c r="D308" s="667">
        <v>14.103</v>
      </c>
      <c r="E308" s="379">
        <v>16.170000000000002</v>
      </c>
      <c r="F308" s="466">
        <f t="shared" si="73"/>
        <v>11781.900000000011</v>
      </c>
      <c r="G308" s="379">
        <f t="shared" si="74"/>
        <v>80387.100000000006</v>
      </c>
      <c r="H308" s="381">
        <f t="shared" si="75"/>
        <v>0.14656456073175933</v>
      </c>
      <c r="I308" s="379"/>
    </row>
    <row r="309" spans="1:13" x14ac:dyDescent="0.25">
      <c r="B309" s="666"/>
      <c r="C309" s="378"/>
      <c r="D309" s="667"/>
      <c r="E309" s="379"/>
      <c r="F309" s="466"/>
      <c r="G309" s="379"/>
      <c r="H309" s="381"/>
      <c r="I309" s="379"/>
    </row>
    <row r="310" spans="1:13" x14ac:dyDescent="0.25">
      <c r="B310" s="666"/>
      <c r="C310" s="378"/>
      <c r="D310" s="667"/>
      <c r="E310" s="379"/>
      <c r="F310" s="466"/>
      <c r="G310" s="379"/>
      <c r="H310" s="381"/>
      <c r="I310" s="379"/>
    </row>
    <row r="311" spans="1:13" x14ac:dyDescent="0.25">
      <c r="B311" s="666"/>
      <c r="C311" s="378"/>
      <c r="D311" s="667"/>
      <c r="E311" s="379"/>
      <c r="F311" s="466"/>
      <c r="G311" s="379"/>
      <c r="H311" s="381"/>
      <c r="I311" s="379"/>
    </row>
    <row r="312" spans="1:13" x14ac:dyDescent="0.25">
      <c r="B312" s="666"/>
      <c r="C312" s="378"/>
      <c r="D312" s="667"/>
      <c r="E312" s="379"/>
      <c r="F312" s="466"/>
      <c r="G312" s="379"/>
      <c r="H312" s="381"/>
      <c r="I312" s="379"/>
    </row>
    <row r="316" spans="1:13" x14ac:dyDescent="0.25">
      <c r="L316" t="s">
        <v>65</v>
      </c>
      <c r="M316" s="235">
        <f>K579+M579-F579</f>
        <v>14615.571000001626</v>
      </c>
    </row>
    <row r="317" spans="1:13" x14ac:dyDescent="0.25">
      <c r="A317" s="539" t="s">
        <v>1</v>
      </c>
      <c r="B317" s="633" t="s">
        <v>2</v>
      </c>
      <c r="C317" s="539" t="s">
        <v>4</v>
      </c>
      <c r="D317" s="634" t="s">
        <v>5</v>
      </c>
      <c r="E317" s="540" t="s">
        <v>90</v>
      </c>
      <c r="F317" s="540" t="s">
        <v>60</v>
      </c>
      <c r="G317" s="539" t="s">
        <v>3</v>
      </c>
      <c r="H317" s="635" t="s">
        <v>6</v>
      </c>
      <c r="I317" s="634" t="s">
        <v>7</v>
      </c>
      <c r="J317" s="540" t="s">
        <v>89</v>
      </c>
      <c r="K317" s="540" t="s">
        <v>61</v>
      </c>
      <c r="L317" s="539" t="s">
        <v>37</v>
      </c>
      <c r="M317" s="540" t="s">
        <v>38</v>
      </c>
    </row>
    <row r="318" spans="1:13" x14ac:dyDescent="0.25">
      <c r="A318" s="541" t="s">
        <v>50</v>
      </c>
      <c r="B318" s="575">
        <v>42187</v>
      </c>
      <c r="C318" s="524">
        <v>1000</v>
      </c>
      <c r="D318" s="525">
        <v>27.25</v>
      </c>
      <c r="E318" s="526">
        <v>0</v>
      </c>
      <c r="F318" s="526">
        <f>C318*D318+E318</f>
        <v>27250</v>
      </c>
      <c r="G318" s="523">
        <v>42187</v>
      </c>
      <c r="H318" s="542">
        <v>2000</v>
      </c>
      <c r="I318" s="525">
        <v>27.34</v>
      </c>
      <c r="J318" s="526">
        <v>-5.49</v>
      </c>
      <c r="K318" s="526">
        <f>H318*I318-J318</f>
        <v>54685.49</v>
      </c>
      <c r="L318" s="523">
        <v>42257</v>
      </c>
      <c r="M318" s="526">
        <v>850.5</v>
      </c>
    </row>
    <row r="319" spans="1:13" x14ac:dyDescent="0.25">
      <c r="A319" s="543" t="s">
        <v>71</v>
      </c>
      <c r="B319" s="575">
        <v>42187</v>
      </c>
      <c r="C319" s="524">
        <v>80</v>
      </c>
      <c r="D319" s="525">
        <v>27.152249999999999</v>
      </c>
      <c r="E319" s="526">
        <v>0</v>
      </c>
      <c r="F319" s="526">
        <f t="shared" ref="F319:F382" si="76">C319*D319+E319</f>
        <v>2172.1799999999998</v>
      </c>
      <c r="G319" s="523">
        <v>42199</v>
      </c>
      <c r="H319" s="542">
        <v>102</v>
      </c>
      <c r="I319" s="525">
        <v>25.28</v>
      </c>
      <c r="J319" s="526">
        <v>0.05</v>
      </c>
      <c r="K319" s="526">
        <f t="shared" ref="K319:K346" si="77">H319*I319-J319</f>
        <v>2578.5099999999998</v>
      </c>
      <c r="L319" s="523">
        <v>42439</v>
      </c>
      <c r="M319" s="526">
        <v>483.9</v>
      </c>
    </row>
    <row r="320" spans="1:13" x14ac:dyDescent="0.25">
      <c r="A320" s="524"/>
      <c r="B320" s="575">
        <v>42187</v>
      </c>
      <c r="C320" s="524">
        <v>1000</v>
      </c>
      <c r="D320" s="525">
        <v>27.1</v>
      </c>
      <c r="E320" s="526">
        <v>0</v>
      </c>
      <c r="F320" s="526">
        <f t="shared" si="76"/>
        <v>27100</v>
      </c>
      <c r="G320" s="523">
        <v>42227</v>
      </c>
      <c r="H320" s="542">
        <v>200</v>
      </c>
      <c r="I320" s="525">
        <v>19.649999999999999</v>
      </c>
      <c r="J320" s="526">
        <v>7.0000000000000007E-2</v>
      </c>
      <c r="K320" s="526">
        <f t="shared" si="77"/>
        <v>3929.9299999999994</v>
      </c>
      <c r="L320" s="523">
        <v>42531</v>
      </c>
      <c r="M320" s="526">
        <v>483.9</v>
      </c>
    </row>
    <row r="321" spans="1:13" x14ac:dyDescent="0.25">
      <c r="A321" s="524"/>
      <c r="B321" s="654">
        <v>42187</v>
      </c>
      <c r="C321" s="524">
        <v>500</v>
      </c>
      <c r="D321" s="525">
        <v>27.039332999999999</v>
      </c>
      <c r="E321" s="526">
        <v>0</v>
      </c>
      <c r="F321" s="526">
        <f t="shared" si="76"/>
        <v>13519.666499999999</v>
      </c>
      <c r="G321" s="523">
        <v>42227</v>
      </c>
      <c r="H321" s="542">
        <v>200</v>
      </c>
      <c r="I321" s="525">
        <v>18.7</v>
      </c>
      <c r="J321" s="526">
        <v>7.0000000000000007E-2</v>
      </c>
      <c r="K321" s="526">
        <f t="shared" si="77"/>
        <v>3739.93</v>
      </c>
      <c r="L321" s="523">
        <v>42625</v>
      </c>
      <c r="M321" s="526">
        <v>433.9</v>
      </c>
    </row>
    <row r="322" spans="1:13" x14ac:dyDescent="0.25">
      <c r="A322" s="524"/>
      <c r="B322" s="654"/>
      <c r="C322" s="524">
        <v>500</v>
      </c>
      <c r="D322" s="525">
        <v>27.039332999999999</v>
      </c>
      <c r="E322" s="526">
        <v>0</v>
      </c>
      <c r="F322" s="526">
        <f t="shared" si="76"/>
        <v>13519.666499999999</v>
      </c>
      <c r="G322" s="523">
        <v>42257</v>
      </c>
      <c r="H322" s="542">
        <v>1600</v>
      </c>
      <c r="I322" s="525">
        <v>16.445</v>
      </c>
      <c r="J322" s="526">
        <v>0.48</v>
      </c>
      <c r="K322" s="526">
        <f t="shared" si="77"/>
        <v>26311.52</v>
      </c>
      <c r="L322" s="523">
        <v>42716</v>
      </c>
      <c r="M322" s="526">
        <v>500</v>
      </c>
    </row>
    <row r="323" spans="1:13" x14ac:dyDescent="0.25">
      <c r="A323" s="524"/>
      <c r="B323" s="654"/>
      <c r="C323" s="524">
        <v>500</v>
      </c>
      <c r="D323" s="525">
        <v>27.039332999999999</v>
      </c>
      <c r="E323" s="526">
        <v>0</v>
      </c>
      <c r="F323" s="526">
        <f t="shared" si="76"/>
        <v>13519.666499999999</v>
      </c>
      <c r="G323" s="655">
        <v>42265</v>
      </c>
      <c r="H323" s="542">
        <v>200</v>
      </c>
      <c r="I323" s="525">
        <v>15.65</v>
      </c>
      <c r="J323" s="526">
        <v>0.05</v>
      </c>
      <c r="K323" s="526">
        <f t="shared" si="77"/>
        <v>3129.95</v>
      </c>
      <c r="L323" s="524"/>
      <c r="M323" s="526"/>
    </row>
    <row r="324" spans="1:13" x14ac:dyDescent="0.25">
      <c r="A324" s="524"/>
      <c r="B324" s="654"/>
      <c r="C324" s="524">
        <v>500</v>
      </c>
      <c r="D324" s="525">
        <v>27.039332999999999</v>
      </c>
      <c r="E324" s="526">
        <v>0</v>
      </c>
      <c r="F324" s="526">
        <f t="shared" si="76"/>
        <v>13519.666499999999</v>
      </c>
      <c r="G324" s="655"/>
      <c r="H324" s="542">
        <v>2400</v>
      </c>
      <c r="I324" s="525">
        <v>15.7</v>
      </c>
      <c r="J324" s="526">
        <v>0.7</v>
      </c>
      <c r="K324" s="526">
        <f t="shared" si="77"/>
        <v>37679.300000000003</v>
      </c>
      <c r="L324" s="524"/>
      <c r="M324" s="526"/>
    </row>
    <row r="325" spans="1:13" x14ac:dyDescent="0.25">
      <c r="A325" s="524"/>
      <c r="B325" s="654"/>
      <c r="C325" s="524">
        <v>1000</v>
      </c>
      <c r="D325" s="525">
        <v>27.039332999999999</v>
      </c>
      <c r="E325" s="526">
        <v>0</v>
      </c>
      <c r="F325" s="526">
        <f t="shared" si="76"/>
        <v>27039.332999999999</v>
      </c>
      <c r="G325" s="523">
        <v>42271</v>
      </c>
      <c r="H325" s="636">
        <v>918</v>
      </c>
      <c r="I325" s="637">
        <v>16.45</v>
      </c>
      <c r="J325" s="638">
        <v>0.28000000000000003</v>
      </c>
      <c r="K325" s="638">
        <f t="shared" si="77"/>
        <v>15100.819999999998</v>
      </c>
      <c r="L325" s="524"/>
      <c r="M325" s="526"/>
    </row>
    <row r="326" spans="1:13" ht="60" x14ac:dyDescent="0.25">
      <c r="A326" s="524"/>
      <c r="B326" s="575">
        <v>42198</v>
      </c>
      <c r="C326" s="524">
        <v>100</v>
      </c>
      <c r="D326" s="525">
        <v>24.77</v>
      </c>
      <c r="E326" s="526">
        <v>0</v>
      </c>
      <c r="F326" s="526">
        <f t="shared" si="76"/>
        <v>2477</v>
      </c>
      <c r="G326" s="656" t="s">
        <v>140</v>
      </c>
      <c r="H326" s="542">
        <v>500</v>
      </c>
      <c r="I326" s="525">
        <v>15.95</v>
      </c>
      <c r="J326" s="526">
        <v>0.15</v>
      </c>
      <c r="K326" s="638">
        <f t="shared" si="77"/>
        <v>7974.85</v>
      </c>
      <c r="L326" s="524"/>
      <c r="M326" s="526"/>
    </row>
    <row r="327" spans="1:13" x14ac:dyDescent="0.25">
      <c r="A327" s="524"/>
      <c r="B327" s="575">
        <v>42205</v>
      </c>
      <c r="C327" s="524">
        <v>50</v>
      </c>
      <c r="D327" s="525">
        <v>24.35</v>
      </c>
      <c r="E327" s="526">
        <v>0</v>
      </c>
      <c r="F327" s="526">
        <f t="shared" si="76"/>
        <v>1217.5</v>
      </c>
      <c r="G327" s="656"/>
      <c r="H327" s="542">
        <v>500</v>
      </c>
      <c r="I327" s="525">
        <v>16.100000000000001</v>
      </c>
      <c r="J327" s="526">
        <v>0.15</v>
      </c>
      <c r="K327" s="638">
        <f t="shared" si="77"/>
        <v>8049.8500000000013</v>
      </c>
      <c r="L327" s="524"/>
      <c r="M327" s="526"/>
    </row>
    <row r="328" spans="1:13" x14ac:dyDescent="0.25">
      <c r="A328" s="524"/>
      <c r="B328" s="575">
        <v>42207</v>
      </c>
      <c r="C328" s="524">
        <v>20</v>
      </c>
      <c r="D328" s="525">
        <v>24.02</v>
      </c>
      <c r="E328" s="526">
        <v>0</v>
      </c>
      <c r="F328" s="526">
        <f t="shared" si="76"/>
        <v>480.4</v>
      </c>
      <c r="G328" s="656"/>
      <c r="H328" s="542">
        <v>500</v>
      </c>
      <c r="I328" s="525">
        <v>16.170000000000002</v>
      </c>
      <c r="J328" s="526">
        <v>0.15</v>
      </c>
      <c r="K328" s="638">
        <f t="shared" si="77"/>
        <v>8084.8500000000013</v>
      </c>
      <c r="L328" s="524"/>
      <c r="M328" s="526"/>
    </row>
    <row r="329" spans="1:13" x14ac:dyDescent="0.25">
      <c r="A329" s="524"/>
      <c r="B329" s="575">
        <v>42207</v>
      </c>
      <c r="C329" s="524">
        <v>20</v>
      </c>
      <c r="D329" s="525">
        <v>23.91</v>
      </c>
      <c r="E329" s="526">
        <v>0</v>
      </c>
      <c r="F329" s="526">
        <f t="shared" si="76"/>
        <v>478.2</v>
      </c>
      <c r="G329" s="656"/>
      <c r="H329" s="542">
        <v>500</v>
      </c>
      <c r="I329" s="525">
        <v>16.28</v>
      </c>
      <c r="J329" s="526">
        <v>0.15</v>
      </c>
      <c r="K329" s="638">
        <f t="shared" si="77"/>
        <v>8139.8500000000013</v>
      </c>
      <c r="L329" s="526"/>
      <c r="M329" s="526"/>
    </row>
    <row r="330" spans="1:13" x14ac:dyDescent="0.25">
      <c r="A330" s="524"/>
      <c r="B330" s="575">
        <v>42207</v>
      </c>
      <c r="C330" s="524">
        <v>20</v>
      </c>
      <c r="D330" s="525">
        <v>23.7</v>
      </c>
      <c r="E330" s="526">
        <v>0</v>
      </c>
      <c r="F330" s="526">
        <f t="shared" si="76"/>
        <v>474</v>
      </c>
      <c r="G330" s="656"/>
      <c r="H330" s="542">
        <v>500</v>
      </c>
      <c r="I330" s="525">
        <v>16.39</v>
      </c>
      <c r="J330" s="526">
        <v>0.15</v>
      </c>
      <c r="K330" s="638">
        <f t="shared" si="77"/>
        <v>8194.85</v>
      </c>
      <c r="L330" s="524"/>
      <c r="M330" s="526"/>
    </row>
    <row r="331" spans="1:13" x14ac:dyDescent="0.25">
      <c r="A331" s="524"/>
      <c r="B331" s="575">
        <v>42207</v>
      </c>
      <c r="C331" s="524">
        <v>20</v>
      </c>
      <c r="D331" s="525">
        <v>23.6</v>
      </c>
      <c r="E331" s="526">
        <v>0</v>
      </c>
      <c r="F331" s="526">
        <f t="shared" si="76"/>
        <v>472</v>
      </c>
      <c r="G331" s="656"/>
      <c r="H331" s="542">
        <v>500</v>
      </c>
      <c r="I331" s="525">
        <v>16.55</v>
      </c>
      <c r="J331" s="526">
        <v>0.17</v>
      </c>
      <c r="K331" s="638">
        <f t="shared" si="77"/>
        <v>8274.83</v>
      </c>
      <c r="L331" s="524"/>
      <c r="M331" s="526"/>
    </row>
    <row r="332" spans="1:13" x14ac:dyDescent="0.25">
      <c r="A332" s="524"/>
      <c r="B332" s="575">
        <v>42209</v>
      </c>
      <c r="C332" s="524">
        <v>40</v>
      </c>
      <c r="D332" s="525">
        <v>22.3</v>
      </c>
      <c r="E332" s="526">
        <v>0</v>
      </c>
      <c r="F332" s="526">
        <f t="shared" si="76"/>
        <v>892</v>
      </c>
      <c r="G332" s="656"/>
      <c r="H332" s="542">
        <v>50</v>
      </c>
      <c r="I332" s="525">
        <v>16.55</v>
      </c>
      <c r="J332" s="526">
        <v>0</v>
      </c>
      <c r="K332" s="638">
        <f t="shared" si="77"/>
        <v>827.5</v>
      </c>
      <c r="L332" s="524"/>
      <c r="M332" s="526"/>
    </row>
    <row r="333" spans="1:13" x14ac:dyDescent="0.25">
      <c r="A333" s="526"/>
      <c r="B333" s="575">
        <v>42221</v>
      </c>
      <c r="C333" s="524">
        <v>12</v>
      </c>
      <c r="D333" s="525">
        <v>20.95</v>
      </c>
      <c r="E333" s="526">
        <v>0</v>
      </c>
      <c r="F333" s="526">
        <f t="shared" si="76"/>
        <v>251.39999999999998</v>
      </c>
      <c r="G333" s="656"/>
      <c r="H333" s="542">
        <v>28</v>
      </c>
      <c r="I333" s="525">
        <v>16.68</v>
      </c>
      <c r="J333" s="526">
        <v>0.01</v>
      </c>
      <c r="K333" s="638">
        <f t="shared" si="77"/>
        <v>467.03</v>
      </c>
      <c r="L333" s="542"/>
      <c r="M333" s="526"/>
    </row>
    <row r="334" spans="1:13" x14ac:dyDescent="0.25">
      <c r="A334" s="524"/>
      <c r="B334" s="575">
        <v>42223</v>
      </c>
      <c r="C334" s="524">
        <v>100</v>
      </c>
      <c r="D334" s="525">
        <v>20.399999999999999</v>
      </c>
      <c r="E334" s="526">
        <v>0</v>
      </c>
      <c r="F334" s="526">
        <f t="shared" si="76"/>
        <v>2039.9999999999998</v>
      </c>
      <c r="G334" s="523">
        <v>42285</v>
      </c>
      <c r="H334" s="542">
        <v>632</v>
      </c>
      <c r="I334" s="525">
        <v>17.850000000000001</v>
      </c>
      <c r="J334" s="526">
        <v>0.21</v>
      </c>
      <c r="K334" s="638">
        <f t="shared" si="77"/>
        <v>11280.990000000002</v>
      </c>
      <c r="L334" s="526"/>
      <c r="M334" s="526"/>
    </row>
    <row r="335" spans="1:13" x14ac:dyDescent="0.25">
      <c r="A335" s="526"/>
      <c r="B335" s="575">
        <v>42226</v>
      </c>
      <c r="C335" s="524">
        <v>200</v>
      </c>
      <c r="D335" s="525">
        <v>19.95</v>
      </c>
      <c r="E335" s="526">
        <v>0</v>
      </c>
      <c r="F335" s="526">
        <f t="shared" si="76"/>
        <v>3990</v>
      </c>
      <c r="G335" s="523">
        <v>42297</v>
      </c>
      <c r="H335" s="542">
        <v>500</v>
      </c>
      <c r="I335" s="525">
        <v>19.149999999999999</v>
      </c>
      <c r="J335" s="526">
        <v>0.18</v>
      </c>
      <c r="K335" s="638">
        <f t="shared" si="77"/>
        <v>9574.82</v>
      </c>
      <c r="L335" s="524"/>
      <c r="M335" s="526"/>
    </row>
    <row r="336" spans="1:13" ht="15" customHeight="1" x14ac:dyDescent="0.25">
      <c r="A336" s="524"/>
      <c r="B336" s="575">
        <v>42226</v>
      </c>
      <c r="C336" s="524">
        <v>50</v>
      </c>
      <c r="D336" s="525">
        <v>20.010000000000002</v>
      </c>
      <c r="E336" s="526">
        <v>0</v>
      </c>
      <c r="F336" s="526">
        <f t="shared" si="76"/>
        <v>1000.5000000000001</v>
      </c>
      <c r="G336" s="523">
        <v>42300</v>
      </c>
      <c r="H336" s="542">
        <v>1000</v>
      </c>
      <c r="I336" s="525">
        <v>18.62</v>
      </c>
      <c r="J336" s="526">
        <v>0.34</v>
      </c>
      <c r="K336" s="638">
        <f t="shared" si="77"/>
        <v>18619.66</v>
      </c>
      <c r="L336" s="524"/>
      <c r="M336" s="526"/>
    </row>
    <row r="337" spans="1:13" x14ac:dyDescent="0.25">
      <c r="A337" s="524"/>
      <c r="B337" s="575">
        <v>42226</v>
      </c>
      <c r="C337" s="524">
        <v>100</v>
      </c>
      <c r="D337" s="525">
        <v>20.2</v>
      </c>
      <c r="E337" s="526">
        <v>0</v>
      </c>
      <c r="F337" s="526">
        <f t="shared" si="76"/>
        <v>2020</v>
      </c>
      <c r="G337" s="523">
        <v>42312</v>
      </c>
      <c r="H337" s="542">
        <v>2500</v>
      </c>
      <c r="I337" s="525">
        <v>18.48</v>
      </c>
      <c r="J337" s="526">
        <v>7.8</v>
      </c>
      <c r="K337" s="526">
        <f t="shared" si="77"/>
        <v>46192.2</v>
      </c>
      <c r="L337" s="524"/>
      <c r="M337" s="526"/>
    </row>
    <row r="338" spans="1:13" x14ac:dyDescent="0.25">
      <c r="A338" s="524"/>
      <c r="B338" s="575">
        <v>42227</v>
      </c>
      <c r="C338" s="524">
        <v>200</v>
      </c>
      <c r="D338" s="525">
        <v>18.399999999999999</v>
      </c>
      <c r="E338" s="526">
        <v>0</v>
      </c>
      <c r="F338" s="526">
        <f t="shared" si="76"/>
        <v>3679.9999999999995</v>
      </c>
      <c r="G338" s="523">
        <v>42313</v>
      </c>
      <c r="H338" s="542">
        <v>3000</v>
      </c>
      <c r="I338" s="525">
        <v>19.059999999999999</v>
      </c>
      <c r="J338" s="526">
        <v>1.05</v>
      </c>
      <c r="K338" s="526">
        <f t="shared" si="77"/>
        <v>57178.94999999999</v>
      </c>
      <c r="L338" s="524"/>
      <c r="M338" s="526"/>
    </row>
    <row r="339" spans="1:13" x14ac:dyDescent="0.25">
      <c r="A339" s="524"/>
      <c r="B339" s="575">
        <v>42227</v>
      </c>
      <c r="C339" s="524">
        <v>200</v>
      </c>
      <c r="D339" s="525">
        <v>19.55</v>
      </c>
      <c r="E339" s="526">
        <v>0</v>
      </c>
      <c r="F339" s="526">
        <f t="shared" si="76"/>
        <v>3910</v>
      </c>
      <c r="G339" s="523">
        <v>42324</v>
      </c>
      <c r="H339" s="542">
        <v>2500</v>
      </c>
      <c r="I339" s="525">
        <v>18.8</v>
      </c>
      <c r="J339" s="526">
        <v>0.86</v>
      </c>
      <c r="K339" s="526">
        <f t="shared" si="77"/>
        <v>46999.14</v>
      </c>
      <c r="L339" s="526"/>
      <c r="M339" s="526"/>
    </row>
    <row r="340" spans="1:13" x14ac:dyDescent="0.25">
      <c r="A340" s="524"/>
      <c r="B340" s="575">
        <v>42234</v>
      </c>
      <c r="C340" s="524">
        <v>40</v>
      </c>
      <c r="D340" s="525">
        <v>18.149999999999999</v>
      </c>
      <c r="E340" s="526">
        <v>0</v>
      </c>
      <c r="F340" s="526">
        <f t="shared" si="76"/>
        <v>726</v>
      </c>
      <c r="G340" s="523">
        <v>42335</v>
      </c>
      <c r="H340" s="542">
        <v>3078</v>
      </c>
      <c r="I340" s="525">
        <v>17.649999999999999</v>
      </c>
      <c r="J340" s="526">
        <v>1</v>
      </c>
      <c r="K340" s="526">
        <f t="shared" si="77"/>
        <v>54325.7</v>
      </c>
      <c r="L340" s="524"/>
      <c r="M340" s="526"/>
    </row>
    <row r="341" spans="1:13" x14ac:dyDescent="0.25">
      <c r="A341" s="524"/>
      <c r="B341" s="575">
        <v>42234</v>
      </c>
      <c r="C341" s="524">
        <v>100</v>
      </c>
      <c r="D341" s="525">
        <v>18</v>
      </c>
      <c r="E341" s="526">
        <v>0</v>
      </c>
      <c r="F341" s="526">
        <f t="shared" si="76"/>
        <v>1800</v>
      </c>
      <c r="G341" s="523">
        <v>42347</v>
      </c>
      <c r="H341" s="542">
        <v>500</v>
      </c>
      <c r="I341" s="525">
        <v>16.149999999999999</v>
      </c>
      <c r="J341" s="526">
        <v>0.15</v>
      </c>
      <c r="K341" s="526">
        <f t="shared" si="77"/>
        <v>8074.8499999999995</v>
      </c>
      <c r="L341" s="524"/>
      <c r="M341" s="526"/>
    </row>
    <row r="342" spans="1:13" x14ac:dyDescent="0.25">
      <c r="A342" s="524"/>
      <c r="B342" s="575">
        <v>42235</v>
      </c>
      <c r="C342" s="524">
        <v>100</v>
      </c>
      <c r="D342" s="525">
        <v>17.78</v>
      </c>
      <c r="E342" s="526">
        <v>0</v>
      </c>
      <c r="F342" s="526">
        <f t="shared" si="76"/>
        <v>1778</v>
      </c>
      <c r="G342" s="523">
        <v>42353</v>
      </c>
      <c r="H342" s="542">
        <v>600</v>
      </c>
      <c r="I342" s="525">
        <v>14.95</v>
      </c>
      <c r="J342" s="526">
        <v>0.17</v>
      </c>
      <c r="K342" s="526">
        <f t="shared" si="77"/>
        <v>8969.83</v>
      </c>
      <c r="L342" s="524"/>
      <c r="M342" s="526"/>
    </row>
    <row r="343" spans="1:13" x14ac:dyDescent="0.25">
      <c r="A343" s="524"/>
      <c r="B343" s="575">
        <v>42235</v>
      </c>
      <c r="C343" s="524">
        <v>100</v>
      </c>
      <c r="D343" s="525">
        <v>17.68</v>
      </c>
      <c r="E343" s="526">
        <v>0</v>
      </c>
      <c r="F343" s="526">
        <f t="shared" si="76"/>
        <v>1768</v>
      </c>
      <c r="G343" s="523">
        <v>42354</v>
      </c>
      <c r="H343" s="542">
        <v>500</v>
      </c>
      <c r="I343" s="525">
        <v>14.32</v>
      </c>
      <c r="J343" s="526">
        <v>0.13</v>
      </c>
      <c r="K343" s="526">
        <f t="shared" si="77"/>
        <v>7159.87</v>
      </c>
      <c r="L343" s="524"/>
      <c r="M343" s="526"/>
    </row>
    <row r="344" spans="1:13" x14ac:dyDescent="0.25">
      <c r="A344" s="524"/>
      <c r="B344" s="575">
        <v>42240</v>
      </c>
      <c r="C344" s="524">
        <v>100</v>
      </c>
      <c r="D344" s="525">
        <v>16.649999999999999</v>
      </c>
      <c r="E344" s="526">
        <v>0</v>
      </c>
      <c r="F344" s="526">
        <f t="shared" si="76"/>
        <v>1664.9999999999998</v>
      </c>
      <c r="G344" s="523">
        <v>42361</v>
      </c>
      <c r="H344" s="542">
        <v>500</v>
      </c>
      <c r="I344" s="525">
        <v>12.83</v>
      </c>
      <c r="J344" s="526">
        <v>0.12</v>
      </c>
      <c r="K344" s="526">
        <f t="shared" si="77"/>
        <v>6414.88</v>
      </c>
      <c r="L344" s="524"/>
      <c r="M344" s="526"/>
    </row>
    <row r="345" spans="1:13" x14ac:dyDescent="0.25">
      <c r="A345" s="524"/>
      <c r="B345" s="575">
        <v>42240</v>
      </c>
      <c r="C345" s="524">
        <v>100</v>
      </c>
      <c r="D345" s="525">
        <v>16.100000000000001</v>
      </c>
      <c r="E345" s="526">
        <v>0</v>
      </c>
      <c r="F345" s="526">
        <f t="shared" si="76"/>
        <v>1610.0000000000002</v>
      </c>
      <c r="G345" s="523">
        <v>42362</v>
      </c>
      <c r="H345" s="542">
        <v>1222</v>
      </c>
      <c r="I345" s="525">
        <v>12.75</v>
      </c>
      <c r="J345" s="526">
        <v>0.28999999999999998</v>
      </c>
      <c r="K345" s="526">
        <f t="shared" si="77"/>
        <v>15580.21</v>
      </c>
      <c r="L345" s="524"/>
      <c r="M345" s="526"/>
    </row>
    <row r="346" spans="1:13" x14ac:dyDescent="0.25">
      <c r="A346" s="524"/>
      <c r="B346" s="575">
        <v>42257</v>
      </c>
      <c r="C346" s="524">
        <v>1500</v>
      </c>
      <c r="D346" s="525">
        <v>16.350000000000001</v>
      </c>
      <c r="E346" s="526">
        <v>0</v>
      </c>
      <c r="F346" s="526">
        <f t="shared" si="76"/>
        <v>24525.000000000004</v>
      </c>
      <c r="G346" s="523">
        <v>42367</v>
      </c>
      <c r="H346" s="542">
        <v>1000</v>
      </c>
      <c r="I346" s="525">
        <v>13.15</v>
      </c>
      <c r="J346" s="526">
        <v>0.24</v>
      </c>
      <c r="K346" s="526">
        <f t="shared" si="77"/>
        <v>13149.76</v>
      </c>
      <c r="L346" s="524"/>
      <c r="M346" s="526"/>
    </row>
    <row r="347" spans="1:13" ht="15" customHeight="1" x14ac:dyDescent="0.25">
      <c r="A347" s="524"/>
      <c r="B347" s="575">
        <v>42258</v>
      </c>
      <c r="C347" s="524">
        <v>100</v>
      </c>
      <c r="D347" s="525">
        <v>16.100000000000001</v>
      </c>
      <c r="E347" s="526">
        <v>0</v>
      </c>
      <c r="F347" s="526">
        <f t="shared" si="76"/>
        <v>1610.0000000000002</v>
      </c>
      <c r="G347" s="523">
        <v>42367</v>
      </c>
      <c r="H347" s="542">
        <v>2178</v>
      </c>
      <c r="I347" s="525">
        <v>13.75</v>
      </c>
      <c r="J347" s="526">
        <v>0.55000000000000004</v>
      </c>
      <c r="K347" s="526">
        <f>H347*I347-J347</f>
        <v>29946.95</v>
      </c>
      <c r="L347" s="524"/>
      <c r="M347" s="526"/>
    </row>
    <row r="348" spans="1:13" x14ac:dyDescent="0.25">
      <c r="A348" s="524"/>
      <c r="B348" s="575">
        <v>42261</v>
      </c>
      <c r="C348" s="524">
        <v>1000</v>
      </c>
      <c r="D348" s="525">
        <v>15.416</v>
      </c>
      <c r="E348" s="526">
        <v>0</v>
      </c>
      <c r="F348" s="526">
        <f t="shared" si="76"/>
        <v>15416</v>
      </c>
      <c r="G348" s="523">
        <v>42010</v>
      </c>
      <c r="H348" s="542">
        <v>1000</v>
      </c>
      <c r="I348" s="525">
        <v>12.63</v>
      </c>
      <c r="J348" s="526">
        <v>0.23</v>
      </c>
      <c r="K348" s="526">
        <f>H348*I348-J348</f>
        <v>12629.77</v>
      </c>
      <c r="L348" s="524"/>
      <c r="M348" s="526"/>
    </row>
    <row r="349" spans="1:13" x14ac:dyDescent="0.25">
      <c r="A349" s="524"/>
      <c r="B349" s="575">
        <v>42261</v>
      </c>
      <c r="C349" s="524">
        <v>1000</v>
      </c>
      <c r="D349" s="525">
        <v>15.1</v>
      </c>
      <c r="E349" s="526">
        <v>0</v>
      </c>
      <c r="F349" s="526">
        <f t="shared" si="76"/>
        <v>15100</v>
      </c>
      <c r="G349" s="639">
        <v>42374</v>
      </c>
      <c r="H349" s="542">
        <v>2000</v>
      </c>
      <c r="I349" s="525">
        <v>12.81</v>
      </c>
      <c r="J349" s="526">
        <v>0.47</v>
      </c>
      <c r="K349" s="526">
        <f t="shared" ref="K349:K361" si="78">H349*I349-J349</f>
        <v>25619.53</v>
      </c>
      <c r="L349" s="524"/>
      <c r="M349" s="526"/>
    </row>
    <row r="350" spans="1:13" x14ac:dyDescent="0.25">
      <c r="A350" s="524"/>
      <c r="B350" s="575">
        <v>42261</v>
      </c>
      <c r="C350" s="524">
        <v>200</v>
      </c>
      <c r="D350" s="525">
        <v>14.87</v>
      </c>
      <c r="E350" s="526">
        <v>0</v>
      </c>
      <c r="F350" s="526">
        <f t="shared" si="76"/>
        <v>2974</v>
      </c>
      <c r="G350" s="523">
        <v>42374</v>
      </c>
      <c r="H350" s="542">
        <v>1000</v>
      </c>
      <c r="I350" s="525">
        <v>12.82</v>
      </c>
      <c r="J350" s="526">
        <v>0.24</v>
      </c>
      <c r="K350" s="526">
        <f t="shared" si="78"/>
        <v>12819.76</v>
      </c>
      <c r="L350" s="524"/>
      <c r="M350" s="526"/>
    </row>
    <row r="351" spans="1:13" x14ac:dyDescent="0.25">
      <c r="A351" s="524"/>
      <c r="B351" s="575">
        <v>42261</v>
      </c>
      <c r="C351" s="524">
        <v>300</v>
      </c>
      <c r="D351" s="525">
        <v>14.87</v>
      </c>
      <c r="E351" s="526">
        <v>0</v>
      </c>
      <c r="F351" s="526">
        <f t="shared" si="76"/>
        <v>4461</v>
      </c>
      <c r="G351" s="523">
        <v>42398</v>
      </c>
      <c r="H351" s="542">
        <v>400</v>
      </c>
      <c r="I351" s="525">
        <v>9.5500000000000007</v>
      </c>
      <c r="J351" s="526">
        <v>7.0000000000000007E-2</v>
      </c>
      <c r="K351" s="526">
        <f t="shared" si="78"/>
        <v>3819.9300000000003</v>
      </c>
      <c r="L351" s="524"/>
      <c r="M351" s="526"/>
    </row>
    <row r="352" spans="1:13" x14ac:dyDescent="0.25">
      <c r="A352" s="524"/>
      <c r="B352" s="575">
        <v>42270</v>
      </c>
      <c r="C352" s="524">
        <v>478</v>
      </c>
      <c r="D352" s="525">
        <v>15.85</v>
      </c>
      <c r="E352" s="526">
        <v>0</v>
      </c>
      <c r="F352" s="526">
        <f t="shared" si="76"/>
        <v>7576.3</v>
      </c>
      <c r="G352" s="523">
        <v>42411</v>
      </c>
      <c r="H352" s="542">
        <v>500</v>
      </c>
      <c r="I352" s="525">
        <v>6.97</v>
      </c>
      <c r="J352" s="526">
        <v>0.08</v>
      </c>
      <c r="K352" s="526">
        <f t="shared" si="78"/>
        <v>3484.92</v>
      </c>
      <c r="L352" s="524"/>
      <c r="M352" s="526"/>
    </row>
    <row r="353" spans="1:13" x14ac:dyDescent="0.25">
      <c r="A353" s="524"/>
      <c r="B353" s="575">
        <v>42292</v>
      </c>
      <c r="C353" s="524">
        <v>500</v>
      </c>
      <c r="D353" s="525">
        <v>18.55</v>
      </c>
      <c r="E353" s="526">
        <v>0</v>
      </c>
      <c r="F353" s="526">
        <f t="shared" si="76"/>
        <v>9275</v>
      </c>
      <c r="G353" s="523">
        <v>42412</v>
      </c>
      <c r="H353" s="542">
        <v>200</v>
      </c>
      <c r="I353" s="525">
        <v>7.45</v>
      </c>
      <c r="J353" s="526">
        <v>0.03</v>
      </c>
      <c r="K353" s="526">
        <f t="shared" si="78"/>
        <v>1489.97</v>
      </c>
      <c r="L353" s="524"/>
      <c r="M353" s="526"/>
    </row>
    <row r="354" spans="1:13" x14ac:dyDescent="0.25">
      <c r="A354" s="524"/>
      <c r="B354" s="575">
        <v>42299</v>
      </c>
      <c r="C354" s="524">
        <v>500</v>
      </c>
      <c r="D354" s="525">
        <v>18.55</v>
      </c>
      <c r="E354" s="526">
        <v>0</v>
      </c>
      <c r="F354" s="526">
        <f t="shared" si="76"/>
        <v>9275</v>
      </c>
      <c r="G354" s="523">
        <v>42416</v>
      </c>
      <c r="H354" s="542">
        <v>500</v>
      </c>
      <c r="I354" s="525">
        <v>7.75</v>
      </c>
      <c r="J354" s="526">
        <v>0.08</v>
      </c>
      <c r="K354" s="526">
        <f t="shared" si="78"/>
        <v>3874.92</v>
      </c>
      <c r="L354" s="524"/>
      <c r="M354" s="526"/>
    </row>
    <row r="355" spans="1:13" x14ac:dyDescent="0.25">
      <c r="A355" s="524"/>
      <c r="B355" s="575">
        <v>42299</v>
      </c>
      <c r="C355" s="524">
        <v>500</v>
      </c>
      <c r="D355" s="525">
        <v>18.28</v>
      </c>
      <c r="E355" s="526">
        <v>0</v>
      </c>
      <c r="F355" s="526">
        <f t="shared" si="76"/>
        <v>9140</v>
      </c>
      <c r="G355" s="523">
        <v>42422</v>
      </c>
      <c r="H355" s="542">
        <v>2500</v>
      </c>
      <c r="I355" s="525">
        <v>7.47</v>
      </c>
      <c r="J355" s="526">
        <v>0.41</v>
      </c>
      <c r="K355" s="526">
        <f t="shared" si="78"/>
        <v>18674.59</v>
      </c>
      <c r="L355" s="524"/>
      <c r="M355" s="526"/>
    </row>
    <row r="356" spans="1:13" x14ac:dyDescent="0.25">
      <c r="A356" s="524"/>
      <c r="B356" s="575">
        <v>42299</v>
      </c>
      <c r="C356" s="524">
        <v>1000</v>
      </c>
      <c r="D356" s="525">
        <v>18.100000000000001</v>
      </c>
      <c r="E356" s="526">
        <v>0</v>
      </c>
      <c r="F356" s="526">
        <f t="shared" si="76"/>
        <v>18100</v>
      </c>
      <c r="G356" s="523">
        <v>42422</v>
      </c>
      <c r="H356" s="542">
        <v>1000</v>
      </c>
      <c r="I356" s="525">
        <v>7.49</v>
      </c>
      <c r="J356" s="526">
        <v>0.16</v>
      </c>
      <c r="K356" s="526">
        <f t="shared" si="78"/>
        <v>7489.84</v>
      </c>
      <c r="L356" s="524"/>
      <c r="M356" s="526"/>
    </row>
    <row r="357" spans="1:13" x14ac:dyDescent="0.25">
      <c r="A357" s="524"/>
      <c r="B357" s="654">
        <v>42306</v>
      </c>
      <c r="C357" s="524">
        <v>660</v>
      </c>
      <c r="D357" s="525">
        <v>17.8</v>
      </c>
      <c r="E357" s="526">
        <v>0</v>
      </c>
      <c r="F357" s="526">
        <f t="shared" si="76"/>
        <v>11748</v>
      </c>
      <c r="G357" s="523">
        <v>42426</v>
      </c>
      <c r="H357" s="542">
        <v>900</v>
      </c>
      <c r="I357" s="525">
        <v>7.7</v>
      </c>
      <c r="J357" s="526">
        <v>0.15</v>
      </c>
      <c r="K357" s="526">
        <f t="shared" si="78"/>
        <v>6929.85</v>
      </c>
      <c r="L357" s="524"/>
      <c r="M357" s="526"/>
    </row>
    <row r="358" spans="1:13" ht="30" x14ac:dyDescent="0.25">
      <c r="A358" s="524"/>
      <c r="B358" s="654"/>
      <c r="C358" s="524">
        <v>340</v>
      </c>
      <c r="D358" s="525">
        <v>17.8</v>
      </c>
      <c r="E358" s="526">
        <v>0</v>
      </c>
      <c r="F358" s="526">
        <f t="shared" si="76"/>
        <v>6052</v>
      </c>
      <c r="G358" s="657" t="s">
        <v>184</v>
      </c>
      <c r="H358" s="542">
        <v>500</v>
      </c>
      <c r="I358" s="525">
        <v>7.73</v>
      </c>
      <c r="J358" s="526">
        <v>0.08</v>
      </c>
      <c r="K358" s="526">
        <f t="shared" si="78"/>
        <v>3864.92</v>
      </c>
      <c r="L358" s="524"/>
      <c r="M358" s="526"/>
    </row>
    <row r="359" spans="1:13" x14ac:dyDescent="0.25">
      <c r="A359" s="524"/>
      <c r="B359" s="575">
        <v>42312</v>
      </c>
      <c r="C359" s="640">
        <v>500</v>
      </c>
      <c r="D359" s="637">
        <v>17.559999999999999</v>
      </c>
      <c r="E359" s="638">
        <v>6.95</v>
      </c>
      <c r="F359" s="638">
        <f t="shared" si="76"/>
        <v>8786.9500000000007</v>
      </c>
      <c r="G359" s="657"/>
      <c r="H359" s="542">
        <v>500</v>
      </c>
      <c r="I359" s="525">
        <v>7.96</v>
      </c>
      <c r="J359" s="526">
        <v>0.09</v>
      </c>
      <c r="K359" s="526">
        <f t="shared" si="78"/>
        <v>3979.91</v>
      </c>
      <c r="L359" s="524"/>
      <c r="M359" s="526"/>
    </row>
    <row r="360" spans="1:13" x14ac:dyDescent="0.25">
      <c r="A360" s="524"/>
      <c r="B360" s="575">
        <v>42313</v>
      </c>
      <c r="C360" s="524">
        <v>3000</v>
      </c>
      <c r="D360" s="525">
        <v>19.05</v>
      </c>
      <c r="E360" s="526">
        <v>0</v>
      </c>
      <c r="F360" s="526">
        <f t="shared" si="76"/>
        <v>57150</v>
      </c>
      <c r="G360" s="657"/>
      <c r="H360" s="542">
        <v>500</v>
      </c>
      <c r="I360" s="525">
        <v>8.0299999999999994</v>
      </c>
      <c r="J360" s="526">
        <v>0.09</v>
      </c>
      <c r="K360" s="526">
        <f t="shared" si="78"/>
        <v>4014.9099999999994</v>
      </c>
      <c r="L360" s="524"/>
      <c r="M360" s="525"/>
    </row>
    <row r="361" spans="1:13" x14ac:dyDescent="0.25">
      <c r="A361" s="524"/>
      <c r="B361" s="575">
        <v>42320</v>
      </c>
      <c r="C361" s="524">
        <v>500</v>
      </c>
      <c r="D361" s="525">
        <v>18.079999999999998</v>
      </c>
      <c r="E361" s="526">
        <v>0</v>
      </c>
      <c r="F361" s="526">
        <f t="shared" si="76"/>
        <v>9040</v>
      </c>
      <c r="G361" s="657"/>
      <c r="H361" s="542">
        <v>1500</v>
      </c>
      <c r="I361" s="525">
        <v>8.1</v>
      </c>
      <c r="J361" s="526">
        <v>0.26</v>
      </c>
      <c r="K361" s="526">
        <f t="shared" si="78"/>
        <v>12149.74</v>
      </c>
      <c r="L361" s="524"/>
      <c r="M361" s="526"/>
    </row>
    <row r="362" spans="1:13" x14ac:dyDescent="0.25">
      <c r="A362" s="524"/>
      <c r="B362" s="575">
        <v>42320</v>
      </c>
      <c r="C362" s="524">
        <v>1000</v>
      </c>
      <c r="D362" s="525">
        <v>18.05</v>
      </c>
      <c r="E362" s="526">
        <v>0</v>
      </c>
      <c r="F362" s="526">
        <f t="shared" si="76"/>
        <v>18050</v>
      </c>
      <c r="G362" s="523">
        <v>42429</v>
      </c>
      <c r="H362" s="542">
        <v>1000</v>
      </c>
      <c r="I362" s="525">
        <v>8.5399999999999991</v>
      </c>
      <c r="J362" s="526">
        <v>0.19</v>
      </c>
      <c r="K362" s="526">
        <f>H362*I362-J362</f>
        <v>8539.81</v>
      </c>
      <c r="L362" s="524"/>
      <c r="M362" s="641"/>
    </row>
    <row r="363" spans="1:13" x14ac:dyDescent="0.25">
      <c r="A363" s="524"/>
      <c r="B363" s="575">
        <v>42320</v>
      </c>
      <c r="C363" s="524">
        <v>1000</v>
      </c>
      <c r="D363" s="525">
        <v>17.82</v>
      </c>
      <c r="E363" s="526">
        <v>0</v>
      </c>
      <c r="F363" s="526">
        <f t="shared" si="76"/>
        <v>17820</v>
      </c>
      <c r="G363" s="523">
        <v>42429</v>
      </c>
      <c r="H363" s="542">
        <v>500</v>
      </c>
      <c r="I363" s="525">
        <v>7.95</v>
      </c>
      <c r="J363" s="526">
        <v>0.09</v>
      </c>
      <c r="K363" s="526">
        <f>H363*I363-J363</f>
        <v>3974.91</v>
      </c>
      <c r="L363" s="524"/>
      <c r="M363" s="526"/>
    </row>
    <row r="364" spans="1:13" x14ac:dyDescent="0.25">
      <c r="A364" s="524"/>
      <c r="B364" s="575">
        <v>42328</v>
      </c>
      <c r="C364" s="524">
        <v>3078</v>
      </c>
      <c r="D364" s="525">
        <v>17.47</v>
      </c>
      <c r="E364" s="526">
        <v>0</v>
      </c>
      <c r="F364" s="526">
        <f t="shared" si="76"/>
        <v>53772.659999999996</v>
      </c>
      <c r="G364" s="523">
        <v>42429</v>
      </c>
      <c r="H364" s="542">
        <v>500</v>
      </c>
      <c r="I364" s="525">
        <v>7.97</v>
      </c>
      <c r="J364" s="526">
        <v>0.09</v>
      </c>
      <c r="K364" s="526">
        <f t="shared" ref="K364:K423" si="79">H364*I364-J364</f>
        <v>3984.91</v>
      </c>
      <c r="L364" s="524"/>
      <c r="M364" s="526"/>
    </row>
    <row r="365" spans="1:13" x14ac:dyDescent="0.25">
      <c r="A365" s="524"/>
      <c r="B365" s="575">
        <v>42340</v>
      </c>
      <c r="C365" s="524">
        <v>3078</v>
      </c>
      <c r="D365" s="525">
        <v>17.739999999999998</v>
      </c>
      <c r="E365" s="526">
        <v>0</v>
      </c>
      <c r="F365" s="526">
        <f t="shared" si="76"/>
        <v>54603.719999999994</v>
      </c>
      <c r="G365" s="523">
        <v>42430</v>
      </c>
      <c r="H365" s="542">
        <v>500</v>
      </c>
      <c r="I365" s="525">
        <v>7.85</v>
      </c>
      <c r="J365" s="526">
        <v>0.09</v>
      </c>
      <c r="K365" s="526">
        <f t="shared" si="79"/>
        <v>3924.91</v>
      </c>
      <c r="L365" s="524"/>
      <c r="M365" s="526"/>
    </row>
    <row r="366" spans="1:13" x14ac:dyDescent="0.25">
      <c r="A366" s="524"/>
      <c r="B366" s="575">
        <v>42340</v>
      </c>
      <c r="C366" s="524">
        <v>500</v>
      </c>
      <c r="D366" s="525">
        <v>17.5</v>
      </c>
      <c r="E366" s="526">
        <v>0</v>
      </c>
      <c r="F366" s="526">
        <f t="shared" si="76"/>
        <v>8750</v>
      </c>
      <c r="G366" s="523">
        <v>42430</v>
      </c>
      <c r="H366" s="542">
        <v>500</v>
      </c>
      <c r="I366" s="525">
        <v>8.0299999999999994</v>
      </c>
      <c r="J366" s="526">
        <v>0.09</v>
      </c>
      <c r="K366" s="526">
        <f t="shared" si="79"/>
        <v>4014.9099999999994</v>
      </c>
      <c r="L366" s="526"/>
      <c r="M366" s="526"/>
    </row>
    <row r="367" spans="1:13" x14ac:dyDescent="0.25">
      <c r="A367" s="524"/>
      <c r="B367" s="575">
        <v>42345</v>
      </c>
      <c r="C367" s="524">
        <v>100</v>
      </c>
      <c r="D367" s="525">
        <v>16.7</v>
      </c>
      <c r="E367" s="526">
        <v>0</v>
      </c>
      <c r="F367" s="526">
        <f t="shared" si="76"/>
        <v>1670</v>
      </c>
      <c r="G367" s="523">
        <v>42431</v>
      </c>
      <c r="H367" s="542">
        <v>500</v>
      </c>
      <c r="I367" s="525">
        <v>8.3800000000000008</v>
      </c>
      <c r="J367" s="526">
        <v>0.09</v>
      </c>
      <c r="K367" s="526">
        <f t="shared" si="79"/>
        <v>4189.91</v>
      </c>
      <c r="L367" s="526"/>
      <c r="M367" s="526"/>
    </row>
    <row r="368" spans="1:13" ht="15" customHeight="1" x14ac:dyDescent="0.25">
      <c r="A368" s="524"/>
      <c r="B368" s="575">
        <v>42345</v>
      </c>
      <c r="C368" s="524">
        <v>500</v>
      </c>
      <c r="D368" s="525">
        <v>16.850000000000001</v>
      </c>
      <c r="E368" s="526">
        <v>0</v>
      </c>
      <c r="F368" s="526">
        <f t="shared" si="76"/>
        <v>8425</v>
      </c>
      <c r="G368" s="523">
        <v>42431</v>
      </c>
      <c r="H368" s="542">
        <v>500</v>
      </c>
      <c r="I368" s="525">
        <v>8.58</v>
      </c>
      <c r="J368" s="526">
        <v>0.09</v>
      </c>
      <c r="K368" s="526">
        <f t="shared" si="79"/>
        <v>4289.91</v>
      </c>
      <c r="L368" s="524"/>
      <c r="M368" s="526"/>
    </row>
    <row r="369" spans="1:13" ht="30" x14ac:dyDescent="0.25">
      <c r="A369" s="524"/>
      <c r="B369" s="575">
        <v>42347</v>
      </c>
      <c r="C369" s="524">
        <v>500</v>
      </c>
      <c r="D369" s="525">
        <v>15.84</v>
      </c>
      <c r="E369" s="526">
        <v>0</v>
      </c>
      <c r="F369" s="526">
        <f t="shared" si="76"/>
        <v>7920</v>
      </c>
      <c r="G369" s="656" t="s">
        <v>186</v>
      </c>
      <c r="H369" s="542">
        <v>400</v>
      </c>
      <c r="I369" s="525">
        <v>9.09</v>
      </c>
      <c r="J369" s="526">
        <v>0.1</v>
      </c>
      <c r="K369" s="526">
        <f t="shared" si="79"/>
        <v>3635.9</v>
      </c>
      <c r="L369" s="524"/>
      <c r="M369" s="526"/>
    </row>
    <row r="370" spans="1:13" x14ac:dyDescent="0.25">
      <c r="A370" s="524"/>
      <c r="B370" s="575">
        <v>42348</v>
      </c>
      <c r="C370" s="524">
        <v>500</v>
      </c>
      <c r="D370" s="525">
        <v>14.78</v>
      </c>
      <c r="E370" s="526">
        <v>0</v>
      </c>
      <c r="F370" s="526">
        <f t="shared" si="76"/>
        <v>7390</v>
      </c>
      <c r="G370" s="656"/>
      <c r="H370" s="542">
        <v>100</v>
      </c>
      <c r="I370" s="525">
        <v>9.09</v>
      </c>
      <c r="J370" s="526">
        <v>0</v>
      </c>
      <c r="K370" s="526">
        <f t="shared" si="79"/>
        <v>909</v>
      </c>
      <c r="L370" s="524"/>
      <c r="M370" s="526"/>
    </row>
    <row r="371" spans="1:13" x14ac:dyDescent="0.25">
      <c r="A371" s="524"/>
      <c r="B371" s="575">
        <v>42352</v>
      </c>
      <c r="C371" s="524">
        <v>100</v>
      </c>
      <c r="D371" s="525">
        <v>14.57</v>
      </c>
      <c r="E371" s="526">
        <v>0</v>
      </c>
      <c r="F371" s="526">
        <f t="shared" si="76"/>
        <v>1457</v>
      </c>
      <c r="G371" s="656"/>
      <c r="H371" s="542">
        <v>500</v>
      </c>
      <c r="I371" s="525">
        <v>8.81</v>
      </c>
      <c r="J371" s="526">
        <v>0.1</v>
      </c>
      <c r="K371" s="526">
        <f t="shared" si="79"/>
        <v>4404.8999999999996</v>
      </c>
      <c r="L371" s="524"/>
      <c r="M371" s="526"/>
    </row>
    <row r="372" spans="1:13" x14ac:dyDescent="0.25">
      <c r="A372" s="524"/>
      <c r="B372" s="575">
        <v>42355</v>
      </c>
      <c r="C372" s="524">
        <v>500</v>
      </c>
      <c r="D372" s="525">
        <v>13.89</v>
      </c>
      <c r="E372" s="526">
        <v>0</v>
      </c>
      <c r="F372" s="526">
        <f t="shared" si="76"/>
        <v>6945</v>
      </c>
      <c r="G372" s="523">
        <v>42432</v>
      </c>
      <c r="H372" s="542">
        <v>600</v>
      </c>
      <c r="I372" s="525">
        <v>9.65</v>
      </c>
      <c r="J372" s="526">
        <v>0.13</v>
      </c>
      <c r="K372" s="526">
        <f t="shared" si="79"/>
        <v>5789.87</v>
      </c>
      <c r="L372" s="524"/>
      <c r="M372" s="526"/>
    </row>
    <row r="373" spans="1:13" x14ac:dyDescent="0.25">
      <c r="A373" s="524"/>
      <c r="B373" s="575">
        <v>42360</v>
      </c>
      <c r="C373" s="524">
        <v>500</v>
      </c>
      <c r="D373" s="525">
        <v>12.95</v>
      </c>
      <c r="E373" s="526">
        <v>0</v>
      </c>
      <c r="F373" s="526">
        <f t="shared" si="76"/>
        <v>6475</v>
      </c>
      <c r="G373" s="523">
        <v>42433</v>
      </c>
      <c r="H373" s="542">
        <v>600</v>
      </c>
      <c r="I373" s="525">
        <v>10.45</v>
      </c>
      <c r="J373" s="526">
        <v>0.14000000000000001</v>
      </c>
      <c r="K373" s="526">
        <f t="shared" si="79"/>
        <v>6269.86</v>
      </c>
      <c r="L373" s="524"/>
      <c r="M373" s="526"/>
    </row>
    <row r="374" spans="1:13" x14ac:dyDescent="0.25">
      <c r="A374" s="524"/>
      <c r="B374" s="575">
        <v>42361</v>
      </c>
      <c r="C374" s="524">
        <v>500</v>
      </c>
      <c r="D374" s="525">
        <v>12.75</v>
      </c>
      <c r="E374" s="526">
        <v>0</v>
      </c>
      <c r="F374" s="526">
        <f t="shared" si="76"/>
        <v>6375</v>
      </c>
      <c r="G374" s="523">
        <v>42440</v>
      </c>
      <c r="H374" s="542">
        <v>400</v>
      </c>
      <c r="I374" s="525">
        <v>11.25</v>
      </c>
      <c r="J374" s="526">
        <v>0.1</v>
      </c>
      <c r="K374" s="526">
        <f t="shared" si="79"/>
        <v>4499.8999999999996</v>
      </c>
      <c r="L374" s="524"/>
      <c r="M374" s="526"/>
    </row>
    <row r="375" spans="1:13" x14ac:dyDescent="0.25">
      <c r="A375" s="524"/>
      <c r="B375" s="575">
        <v>42361</v>
      </c>
      <c r="C375" s="524">
        <v>500</v>
      </c>
      <c r="D375" s="525">
        <v>12.8</v>
      </c>
      <c r="E375" s="526">
        <v>0</v>
      </c>
      <c r="F375" s="526">
        <f t="shared" si="76"/>
        <v>6400</v>
      </c>
      <c r="G375" s="523">
        <v>42446</v>
      </c>
      <c r="H375" s="542">
        <v>1500</v>
      </c>
      <c r="I375" s="525">
        <v>11.49</v>
      </c>
      <c r="J375" s="526">
        <v>0.38</v>
      </c>
      <c r="K375" s="526">
        <f t="shared" si="79"/>
        <v>17234.62</v>
      </c>
      <c r="L375" s="524"/>
      <c r="M375" s="526"/>
    </row>
    <row r="376" spans="1:13" x14ac:dyDescent="0.25">
      <c r="A376" s="524"/>
      <c r="B376" s="575">
        <v>42361</v>
      </c>
      <c r="C376" s="524">
        <v>1000</v>
      </c>
      <c r="D376" s="525">
        <v>12.67</v>
      </c>
      <c r="E376" s="526">
        <v>0</v>
      </c>
      <c r="F376" s="526">
        <f t="shared" si="76"/>
        <v>12670</v>
      </c>
      <c r="G376" s="523">
        <v>42447</v>
      </c>
      <c r="H376" s="542">
        <v>1500</v>
      </c>
      <c r="I376" s="525">
        <v>11.44</v>
      </c>
      <c r="J376" s="526">
        <v>0.37</v>
      </c>
      <c r="K376" s="526">
        <f t="shared" si="79"/>
        <v>17159.63</v>
      </c>
      <c r="L376" s="524"/>
      <c r="M376" s="526"/>
    </row>
    <row r="377" spans="1:13" x14ac:dyDescent="0.25">
      <c r="A377" s="524"/>
      <c r="B377" s="575">
        <v>42361</v>
      </c>
      <c r="C377" s="524">
        <v>222</v>
      </c>
      <c r="D377" s="525">
        <v>12.44</v>
      </c>
      <c r="E377" s="526">
        <v>0</v>
      </c>
      <c r="F377" s="526">
        <f t="shared" si="76"/>
        <v>2761.68</v>
      </c>
      <c r="G377" s="523">
        <v>42447</v>
      </c>
      <c r="H377" s="542">
        <v>500</v>
      </c>
      <c r="I377" s="525">
        <v>11.484999999999999</v>
      </c>
      <c r="J377" s="526">
        <v>0.13</v>
      </c>
      <c r="K377" s="526">
        <f t="shared" si="79"/>
        <v>5742.37</v>
      </c>
      <c r="L377" s="524"/>
      <c r="M377" s="526"/>
    </row>
    <row r="378" spans="1:13" x14ac:dyDescent="0.25">
      <c r="A378" s="524"/>
      <c r="B378" s="575">
        <v>42367</v>
      </c>
      <c r="C378" s="524">
        <v>2178</v>
      </c>
      <c r="D378" s="525">
        <v>13.68</v>
      </c>
      <c r="E378" s="526">
        <v>0</v>
      </c>
      <c r="F378" s="526">
        <f t="shared" si="76"/>
        <v>29795.040000000001</v>
      </c>
      <c r="G378" s="655">
        <v>42447</v>
      </c>
      <c r="H378" s="542">
        <v>650</v>
      </c>
      <c r="I378" s="525">
        <v>11.56</v>
      </c>
      <c r="J378" s="526">
        <v>0.25</v>
      </c>
      <c r="K378" s="526">
        <f t="shared" si="79"/>
        <v>7513.75</v>
      </c>
      <c r="L378" s="524"/>
      <c r="M378" s="526"/>
    </row>
    <row r="379" spans="1:13" x14ac:dyDescent="0.25">
      <c r="A379" s="524"/>
      <c r="B379" s="575">
        <v>42369</v>
      </c>
      <c r="C379" s="524">
        <v>2500</v>
      </c>
      <c r="D379" s="525">
        <v>13.04</v>
      </c>
      <c r="E379" s="526">
        <v>0</v>
      </c>
      <c r="F379" s="526">
        <f t="shared" si="76"/>
        <v>32599.999999999996</v>
      </c>
      <c r="G379" s="655"/>
      <c r="H379" s="542">
        <v>350</v>
      </c>
      <c r="I379" s="525">
        <v>11.56</v>
      </c>
      <c r="J379" s="526">
        <v>0</v>
      </c>
      <c r="K379" s="526">
        <f t="shared" si="79"/>
        <v>4046</v>
      </c>
      <c r="L379" s="524"/>
      <c r="M379" s="526"/>
    </row>
    <row r="380" spans="1:13" x14ac:dyDescent="0.25">
      <c r="A380" s="524"/>
      <c r="B380" s="575">
        <v>42008</v>
      </c>
      <c r="C380" s="524">
        <v>2000</v>
      </c>
      <c r="D380" s="525">
        <v>13.01</v>
      </c>
      <c r="E380" s="526">
        <v>0</v>
      </c>
      <c r="F380" s="526">
        <f t="shared" si="76"/>
        <v>26020</v>
      </c>
      <c r="G380" s="523">
        <v>42447</v>
      </c>
      <c r="H380" s="542">
        <v>1000</v>
      </c>
      <c r="I380" s="525">
        <v>11.62</v>
      </c>
      <c r="J380" s="526">
        <v>0.25</v>
      </c>
      <c r="K380" s="526">
        <f t="shared" si="79"/>
        <v>11619.75</v>
      </c>
      <c r="L380" s="524"/>
      <c r="M380" s="526"/>
    </row>
    <row r="381" spans="1:13" x14ac:dyDescent="0.25">
      <c r="A381" s="524"/>
      <c r="B381" s="575">
        <v>42009</v>
      </c>
      <c r="C381" s="524">
        <v>500</v>
      </c>
      <c r="D381" s="525">
        <v>12.62</v>
      </c>
      <c r="E381" s="526">
        <v>0</v>
      </c>
      <c r="F381" s="526">
        <f t="shared" si="76"/>
        <v>6310</v>
      </c>
      <c r="G381" s="523">
        <v>42451</v>
      </c>
      <c r="H381" s="542">
        <v>1000</v>
      </c>
      <c r="I381" s="525">
        <v>11.45</v>
      </c>
      <c r="J381" s="526">
        <v>0.25</v>
      </c>
      <c r="K381" s="526">
        <f t="shared" si="79"/>
        <v>11449.75</v>
      </c>
      <c r="L381" s="524"/>
      <c r="M381" s="526"/>
    </row>
    <row r="382" spans="1:13" x14ac:dyDescent="0.25">
      <c r="A382" s="524"/>
      <c r="B382" s="575">
        <v>42009</v>
      </c>
      <c r="C382" s="524">
        <v>500</v>
      </c>
      <c r="D382" s="525">
        <v>12.45</v>
      </c>
      <c r="E382" s="526">
        <v>0</v>
      </c>
      <c r="F382" s="526">
        <f t="shared" si="76"/>
        <v>6225</v>
      </c>
      <c r="G382" s="523">
        <v>42451</v>
      </c>
      <c r="H382" s="542">
        <v>50</v>
      </c>
      <c r="I382" s="525">
        <v>11.28</v>
      </c>
      <c r="J382" s="526">
        <v>0.01</v>
      </c>
      <c r="K382" s="526">
        <f t="shared" si="79"/>
        <v>563.99</v>
      </c>
      <c r="L382" s="524"/>
      <c r="M382" s="526"/>
    </row>
    <row r="383" spans="1:13" x14ac:dyDescent="0.25">
      <c r="A383" s="524"/>
      <c r="B383" s="642">
        <v>42374</v>
      </c>
      <c r="C383" s="524">
        <v>2000</v>
      </c>
      <c r="D383" s="525">
        <v>12.73</v>
      </c>
      <c r="E383" s="526">
        <v>0</v>
      </c>
      <c r="F383" s="526">
        <f t="shared" ref="F383:F446" si="80">C383*D383+E383</f>
        <v>25460</v>
      </c>
      <c r="G383" s="523">
        <v>42459</v>
      </c>
      <c r="H383" s="542">
        <v>2000</v>
      </c>
      <c r="I383" s="525">
        <v>10.75</v>
      </c>
      <c r="J383" s="526">
        <v>0.47</v>
      </c>
      <c r="K383" s="526">
        <f t="shared" si="79"/>
        <v>21499.53</v>
      </c>
      <c r="L383" s="524"/>
      <c r="M383" s="526"/>
    </row>
    <row r="384" spans="1:13" x14ac:dyDescent="0.25">
      <c r="A384" s="524"/>
      <c r="B384" s="575">
        <v>42375</v>
      </c>
      <c r="C384" s="524">
        <v>1000</v>
      </c>
      <c r="D384" s="525">
        <v>12.5</v>
      </c>
      <c r="E384" s="526">
        <v>0</v>
      </c>
      <c r="F384" s="526">
        <f t="shared" si="80"/>
        <v>12500</v>
      </c>
      <c r="G384" s="523">
        <v>42460</v>
      </c>
      <c r="H384" s="542">
        <v>1600</v>
      </c>
      <c r="I384" s="525">
        <v>10.95</v>
      </c>
      <c r="J384" s="526">
        <v>2.88</v>
      </c>
      <c r="K384" s="526">
        <f t="shared" si="79"/>
        <v>17517.12</v>
      </c>
      <c r="L384" s="524"/>
      <c r="M384" s="526"/>
    </row>
    <row r="385" spans="1:13" x14ac:dyDescent="0.25">
      <c r="A385" s="524"/>
      <c r="B385" s="575">
        <v>42375</v>
      </c>
      <c r="C385" s="524">
        <v>1000</v>
      </c>
      <c r="D385" s="525">
        <v>11.7</v>
      </c>
      <c r="E385" s="526">
        <v>0</v>
      </c>
      <c r="F385" s="526">
        <f t="shared" si="80"/>
        <v>11700</v>
      </c>
      <c r="G385" s="523">
        <v>42461</v>
      </c>
      <c r="H385" s="542">
        <v>2000</v>
      </c>
      <c r="I385" s="525">
        <v>10.52</v>
      </c>
      <c r="J385" s="526">
        <v>0.46</v>
      </c>
      <c r="K385" s="526">
        <f t="shared" si="79"/>
        <v>21039.54</v>
      </c>
      <c r="L385" s="524"/>
      <c r="M385" s="526"/>
    </row>
    <row r="386" spans="1:13" x14ac:dyDescent="0.25">
      <c r="A386" s="524"/>
      <c r="B386" s="575">
        <v>42402</v>
      </c>
      <c r="C386" s="524">
        <v>400</v>
      </c>
      <c r="D386" s="525">
        <v>9.1</v>
      </c>
      <c r="E386" s="526">
        <v>0</v>
      </c>
      <c r="F386" s="526">
        <f t="shared" si="80"/>
        <v>3640</v>
      </c>
      <c r="G386" s="523">
        <v>42461</v>
      </c>
      <c r="H386" s="542">
        <v>2000</v>
      </c>
      <c r="I386" s="525">
        <v>10.55</v>
      </c>
      <c r="J386" s="526">
        <v>0.46</v>
      </c>
      <c r="K386" s="526">
        <f t="shared" si="79"/>
        <v>21099.54</v>
      </c>
      <c r="L386" s="524"/>
      <c r="M386" s="526"/>
    </row>
    <row r="387" spans="1:13" x14ac:dyDescent="0.25">
      <c r="A387" s="524"/>
      <c r="B387" s="575">
        <v>42411</v>
      </c>
      <c r="C387" s="524">
        <v>500</v>
      </c>
      <c r="D387" s="525">
        <v>6.835</v>
      </c>
      <c r="E387" s="526">
        <v>0</v>
      </c>
      <c r="F387" s="526">
        <f t="shared" si="80"/>
        <v>3417.5</v>
      </c>
      <c r="G387" s="523">
        <v>42465</v>
      </c>
      <c r="H387" s="542">
        <v>100</v>
      </c>
      <c r="I387" s="525">
        <v>10.75</v>
      </c>
      <c r="J387" s="526">
        <v>0.02</v>
      </c>
      <c r="K387" s="526">
        <f t="shared" si="79"/>
        <v>1074.98</v>
      </c>
      <c r="L387" s="524"/>
      <c r="M387" s="526"/>
    </row>
    <row r="388" spans="1:13" x14ac:dyDescent="0.25">
      <c r="A388" s="524"/>
      <c r="B388" s="575">
        <v>42412</v>
      </c>
      <c r="C388" s="524">
        <v>200</v>
      </c>
      <c r="D388" s="525">
        <v>7.23</v>
      </c>
      <c r="E388" s="526">
        <v>0</v>
      </c>
      <c r="F388" s="526">
        <f t="shared" si="80"/>
        <v>1446</v>
      </c>
      <c r="G388" s="523">
        <v>42468</v>
      </c>
      <c r="H388" s="542">
        <v>1000</v>
      </c>
      <c r="I388" s="525">
        <v>11.77</v>
      </c>
      <c r="J388" s="526">
        <v>0.26</v>
      </c>
      <c r="K388" s="526">
        <f t="shared" si="79"/>
        <v>11769.74</v>
      </c>
      <c r="L388" s="524"/>
      <c r="M388" s="526"/>
    </row>
    <row r="389" spans="1:13" x14ac:dyDescent="0.25">
      <c r="A389" s="524"/>
      <c r="B389" s="575">
        <v>42416</v>
      </c>
      <c r="C389" s="524">
        <v>500</v>
      </c>
      <c r="D389" s="525">
        <v>7.5</v>
      </c>
      <c r="E389" s="526">
        <v>0</v>
      </c>
      <c r="F389" s="526">
        <f t="shared" si="80"/>
        <v>3750</v>
      </c>
      <c r="G389" s="655">
        <v>42472</v>
      </c>
      <c r="H389" s="542">
        <v>420</v>
      </c>
      <c r="I389" s="525">
        <v>13.35</v>
      </c>
      <c r="J389" s="526">
        <v>0.15</v>
      </c>
      <c r="K389" s="526">
        <f t="shared" si="79"/>
        <v>5606.85</v>
      </c>
      <c r="L389" s="524"/>
      <c r="M389" s="526"/>
    </row>
    <row r="390" spans="1:13" ht="15" customHeight="1" x14ac:dyDescent="0.25">
      <c r="A390" s="524"/>
      <c r="B390" s="658" t="s">
        <v>182</v>
      </c>
      <c r="C390" s="524">
        <v>3000</v>
      </c>
      <c r="D390" s="525">
        <v>7.55</v>
      </c>
      <c r="E390" s="526">
        <v>0</v>
      </c>
      <c r="F390" s="526">
        <f t="shared" si="80"/>
        <v>22650</v>
      </c>
      <c r="G390" s="655"/>
      <c r="H390" s="542">
        <v>80</v>
      </c>
      <c r="I390" s="525">
        <v>13.35</v>
      </c>
      <c r="J390" s="526">
        <v>0</v>
      </c>
      <c r="K390" s="526">
        <f t="shared" si="79"/>
        <v>1068</v>
      </c>
      <c r="L390" s="524"/>
      <c r="M390" s="526"/>
    </row>
    <row r="391" spans="1:13" x14ac:dyDescent="0.25">
      <c r="A391" s="524"/>
      <c r="B391" s="658"/>
      <c r="C391" s="524">
        <v>500</v>
      </c>
      <c r="D391" s="525">
        <v>6.75</v>
      </c>
      <c r="E391" s="526">
        <v>0</v>
      </c>
      <c r="F391" s="526">
        <f t="shared" si="80"/>
        <v>3375</v>
      </c>
      <c r="G391" s="523">
        <v>42472</v>
      </c>
      <c r="H391" s="542">
        <v>500</v>
      </c>
      <c r="I391" s="525">
        <v>13.15</v>
      </c>
      <c r="J391" s="526">
        <v>0.14000000000000001</v>
      </c>
      <c r="K391" s="526">
        <f t="shared" si="79"/>
        <v>6574.86</v>
      </c>
      <c r="L391" s="524"/>
      <c r="M391" s="526"/>
    </row>
    <row r="392" spans="1:13" x14ac:dyDescent="0.25">
      <c r="A392" s="524"/>
      <c r="B392" s="658"/>
      <c r="C392" s="524">
        <v>300</v>
      </c>
      <c r="D392" s="525">
        <v>6.75</v>
      </c>
      <c r="E392" s="526">
        <v>0</v>
      </c>
      <c r="F392" s="526">
        <f t="shared" si="80"/>
        <v>2025</v>
      </c>
      <c r="G392" s="523">
        <v>42472</v>
      </c>
      <c r="H392" s="542">
        <v>500</v>
      </c>
      <c r="I392" s="525">
        <v>12.92</v>
      </c>
      <c r="J392" s="526">
        <v>0.14000000000000001</v>
      </c>
      <c r="K392" s="526">
        <f t="shared" si="79"/>
        <v>6459.86</v>
      </c>
      <c r="L392" s="524"/>
      <c r="M392" s="526"/>
    </row>
    <row r="393" spans="1:13" x14ac:dyDescent="0.25">
      <c r="A393" s="524"/>
      <c r="B393" s="575">
        <v>42426</v>
      </c>
      <c r="C393" s="524">
        <v>600</v>
      </c>
      <c r="D393" s="525">
        <v>7.63</v>
      </c>
      <c r="E393" s="526">
        <v>0</v>
      </c>
      <c r="F393" s="526">
        <f t="shared" si="80"/>
        <v>4578</v>
      </c>
      <c r="G393" s="523">
        <v>42472</v>
      </c>
      <c r="H393" s="542">
        <v>500</v>
      </c>
      <c r="I393" s="525">
        <v>12.59</v>
      </c>
      <c r="J393" s="526">
        <v>0.14000000000000001</v>
      </c>
      <c r="K393" s="526">
        <f t="shared" si="79"/>
        <v>6294.86</v>
      </c>
      <c r="L393" s="524"/>
      <c r="M393" s="526"/>
    </row>
    <row r="394" spans="1:13" x14ac:dyDescent="0.25">
      <c r="A394" s="524"/>
      <c r="B394" s="575">
        <v>42426</v>
      </c>
      <c r="C394" s="524">
        <v>2000</v>
      </c>
      <c r="D394" s="525">
        <v>7.95</v>
      </c>
      <c r="E394" s="526">
        <v>0</v>
      </c>
      <c r="F394" s="526">
        <f t="shared" si="80"/>
        <v>15900</v>
      </c>
      <c r="G394" s="523">
        <v>42474</v>
      </c>
      <c r="H394" s="542">
        <v>500</v>
      </c>
      <c r="I394" s="525">
        <v>13.18</v>
      </c>
      <c r="J394" s="526">
        <v>0.14000000000000001</v>
      </c>
      <c r="K394" s="526">
        <f t="shared" si="79"/>
        <v>6589.86</v>
      </c>
      <c r="L394" s="524"/>
      <c r="M394" s="526"/>
    </row>
    <row r="395" spans="1:13" x14ac:dyDescent="0.25">
      <c r="A395" s="524"/>
      <c r="B395" s="575">
        <v>42429</v>
      </c>
      <c r="C395" s="524">
        <v>2000</v>
      </c>
      <c r="D395" s="525">
        <v>8.1999999999999993</v>
      </c>
      <c r="E395" s="526">
        <v>0</v>
      </c>
      <c r="F395" s="526">
        <f t="shared" si="80"/>
        <v>16400</v>
      </c>
      <c r="G395" s="523">
        <v>42478</v>
      </c>
      <c r="H395" s="542">
        <v>500</v>
      </c>
      <c r="I395" s="525">
        <v>13.4</v>
      </c>
      <c r="J395" s="526">
        <v>0.15</v>
      </c>
      <c r="K395" s="526">
        <f t="shared" si="79"/>
        <v>6699.85</v>
      </c>
      <c r="L395" s="524"/>
      <c r="M395" s="526"/>
    </row>
    <row r="396" spans="1:13" x14ac:dyDescent="0.25">
      <c r="A396" s="526"/>
      <c r="B396" s="575">
        <v>42429</v>
      </c>
      <c r="C396" s="524">
        <v>500</v>
      </c>
      <c r="D396" s="525">
        <v>7.88</v>
      </c>
      <c r="E396" s="526">
        <v>0</v>
      </c>
      <c r="F396" s="526">
        <f t="shared" si="80"/>
        <v>3940</v>
      </c>
      <c r="G396" s="523">
        <v>42486</v>
      </c>
      <c r="H396" s="542">
        <v>500</v>
      </c>
      <c r="I396" s="525">
        <v>14.35</v>
      </c>
      <c r="J396" s="526">
        <v>0.16</v>
      </c>
      <c r="K396" s="526">
        <f t="shared" si="79"/>
        <v>7174.84</v>
      </c>
      <c r="L396" s="524"/>
      <c r="M396" s="526"/>
    </row>
    <row r="397" spans="1:13" ht="15" customHeight="1" x14ac:dyDescent="0.25">
      <c r="A397" s="524"/>
      <c r="B397" s="575">
        <v>42430</v>
      </c>
      <c r="C397" s="524">
        <v>1000</v>
      </c>
      <c r="D397" s="525">
        <v>7.77</v>
      </c>
      <c r="E397" s="526">
        <v>0</v>
      </c>
      <c r="F397" s="526">
        <f t="shared" si="80"/>
        <v>7770</v>
      </c>
      <c r="G397" s="523">
        <v>42487</v>
      </c>
      <c r="H397" s="542">
        <v>600</v>
      </c>
      <c r="I397" s="525">
        <v>14.85</v>
      </c>
      <c r="J397" s="526">
        <v>0.19</v>
      </c>
      <c r="K397" s="526">
        <f t="shared" si="79"/>
        <v>8909.81</v>
      </c>
      <c r="L397" s="524"/>
      <c r="M397" s="526"/>
    </row>
    <row r="398" spans="1:13" x14ac:dyDescent="0.25">
      <c r="A398" s="524"/>
      <c r="B398" s="575">
        <v>42430</v>
      </c>
      <c r="C398" s="524">
        <v>500</v>
      </c>
      <c r="D398" s="525">
        <v>7.94</v>
      </c>
      <c r="E398" s="526">
        <v>0</v>
      </c>
      <c r="F398" s="526">
        <f t="shared" si="80"/>
        <v>3970</v>
      </c>
      <c r="G398" s="523">
        <v>42489</v>
      </c>
      <c r="H398" s="542">
        <v>3000</v>
      </c>
      <c r="I398" s="525">
        <v>14.15</v>
      </c>
      <c r="J398" s="526">
        <v>0.93</v>
      </c>
      <c r="K398" s="526">
        <f t="shared" si="79"/>
        <v>42449.07</v>
      </c>
      <c r="L398" s="524"/>
      <c r="M398" s="526"/>
    </row>
    <row r="399" spans="1:13" x14ac:dyDescent="0.25">
      <c r="A399" s="524"/>
      <c r="B399" s="575">
        <v>42431</v>
      </c>
      <c r="C399" s="524">
        <v>1000</v>
      </c>
      <c r="D399" s="525">
        <v>8.3699999999999992</v>
      </c>
      <c r="E399" s="526">
        <v>0</v>
      </c>
      <c r="F399" s="526">
        <f t="shared" si="80"/>
        <v>8370</v>
      </c>
      <c r="G399" s="523">
        <v>42492</v>
      </c>
      <c r="H399" s="542">
        <v>1000</v>
      </c>
      <c r="I399" s="525">
        <v>13.48</v>
      </c>
      <c r="J399" s="526">
        <v>0.28999999999999998</v>
      </c>
      <c r="K399" s="526">
        <f t="shared" si="79"/>
        <v>13479.71</v>
      </c>
      <c r="L399" s="524"/>
      <c r="M399" s="526"/>
    </row>
    <row r="400" spans="1:13" x14ac:dyDescent="0.25">
      <c r="A400" s="524"/>
      <c r="B400" s="575">
        <v>42432</v>
      </c>
      <c r="C400" s="524">
        <v>600</v>
      </c>
      <c r="D400" s="525">
        <v>9.3699999999999992</v>
      </c>
      <c r="E400" s="526">
        <v>0</v>
      </c>
      <c r="F400" s="526">
        <f t="shared" si="80"/>
        <v>5621.9999999999991</v>
      </c>
      <c r="G400" s="523">
        <v>42492</v>
      </c>
      <c r="H400" s="542">
        <v>1000</v>
      </c>
      <c r="I400" s="525">
        <v>13.61</v>
      </c>
      <c r="J400" s="526">
        <v>0.3</v>
      </c>
      <c r="K400" s="526">
        <f t="shared" si="79"/>
        <v>13609.7</v>
      </c>
      <c r="L400" s="524"/>
      <c r="M400" s="526"/>
    </row>
    <row r="401" spans="1:13" x14ac:dyDescent="0.25">
      <c r="A401" s="524"/>
      <c r="B401" s="575">
        <v>42432</v>
      </c>
      <c r="C401" s="524">
        <v>600</v>
      </c>
      <c r="D401" s="525">
        <v>8.8800000000000008</v>
      </c>
      <c r="E401" s="526">
        <v>0</v>
      </c>
      <c r="F401" s="526">
        <f t="shared" si="80"/>
        <v>5328.0000000000009</v>
      </c>
      <c r="G401" s="523">
        <v>42493</v>
      </c>
      <c r="H401" s="542">
        <v>322</v>
      </c>
      <c r="I401" s="525">
        <v>13.28</v>
      </c>
      <c r="J401" s="526">
        <v>0.09</v>
      </c>
      <c r="K401" s="526">
        <f t="shared" si="79"/>
        <v>4276.07</v>
      </c>
      <c r="L401" s="524"/>
      <c r="M401" s="526"/>
    </row>
    <row r="402" spans="1:13" x14ac:dyDescent="0.25">
      <c r="A402" s="524"/>
      <c r="B402" s="575">
        <v>42433</v>
      </c>
      <c r="C402" s="524">
        <v>600</v>
      </c>
      <c r="D402" s="525">
        <v>10.42</v>
      </c>
      <c r="E402" s="526">
        <v>0</v>
      </c>
      <c r="F402" s="526">
        <f t="shared" si="80"/>
        <v>6252</v>
      </c>
      <c r="G402" s="523">
        <v>42495</v>
      </c>
      <c r="H402" s="542">
        <v>1000</v>
      </c>
      <c r="I402" s="525">
        <v>12.05</v>
      </c>
      <c r="J402" s="526">
        <v>0.26</v>
      </c>
      <c r="K402" s="526">
        <f t="shared" si="79"/>
        <v>12049.74</v>
      </c>
      <c r="L402" s="524"/>
      <c r="M402" s="526"/>
    </row>
    <row r="403" spans="1:13" x14ac:dyDescent="0.25">
      <c r="A403" s="524"/>
      <c r="B403" s="575">
        <v>42440</v>
      </c>
      <c r="C403" s="524">
        <v>400</v>
      </c>
      <c r="D403" s="525">
        <v>11.12</v>
      </c>
      <c r="E403" s="526">
        <v>0</v>
      </c>
      <c r="F403" s="526">
        <f t="shared" si="80"/>
        <v>4448</v>
      </c>
      <c r="G403" s="523">
        <v>42495</v>
      </c>
      <c r="H403" s="542">
        <v>2000</v>
      </c>
      <c r="I403" s="525">
        <v>12.63</v>
      </c>
      <c r="J403" s="526">
        <v>0.55000000000000004</v>
      </c>
      <c r="K403" s="526">
        <f t="shared" si="79"/>
        <v>25259.45</v>
      </c>
      <c r="L403" s="524"/>
      <c r="M403" s="526"/>
    </row>
    <row r="404" spans="1:13" x14ac:dyDescent="0.25">
      <c r="A404" s="524"/>
      <c r="B404" s="575">
        <v>42446</v>
      </c>
      <c r="C404" s="524">
        <v>1500</v>
      </c>
      <c r="D404" s="525">
        <v>11.445</v>
      </c>
      <c r="E404" s="526">
        <v>0</v>
      </c>
      <c r="F404" s="526">
        <f t="shared" si="80"/>
        <v>17167.5</v>
      </c>
      <c r="G404" s="523">
        <v>42500</v>
      </c>
      <c r="H404" s="542">
        <v>1000</v>
      </c>
      <c r="I404" s="525">
        <v>11.66</v>
      </c>
      <c r="J404" s="526">
        <v>5.25</v>
      </c>
      <c r="K404" s="526">
        <f t="shared" si="79"/>
        <v>11654.75</v>
      </c>
      <c r="L404" s="524"/>
      <c r="M404" s="526"/>
    </row>
    <row r="405" spans="1:13" x14ac:dyDescent="0.25">
      <c r="A405" s="524"/>
      <c r="B405" s="654">
        <v>42447</v>
      </c>
      <c r="C405" s="524">
        <v>1500</v>
      </c>
      <c r="D405" s="525">
        <v>11.42</v>
      </c>
      <c r="E405" s="526">
        <v>0</v>
      </c>
      <c r="F405" s="526">
        <f t="shared" si="80"/>
        <v>17130</v>
      </c>
      <c r="G405" s="523">
        <v>42502</v>
      </c>
      <c r="H405" s="542">
        <v>1500</v>
      </c>
      <c r="I405" s="525">
        <v>12.36</v>
      </c>
      <c r="J405" s="526">
        <v>0.4</v>
      </c>
      <c r="K405" s="526">
        <f t="shared" si="79"/>
        <v>18539.599999999999</v>
      </c>
      <c r="L405" s="524"/>
      <c r="M405" s="526"/>
    </row>
    <row r="406" spans="1:13" x14ac:dyDescent="0.25">
      <c r="A406" s="524"/>
      <c r="B406" s="659"/>
      <c r="C406" s="524">
        <v>500</v>
      </c>
      <c r="D406" s="525">
        <v>11.42</v>
      </c>
      <c r="E406" s="526">
        <v>0</v>
      </c>
      <c r="F406" s="526">
        <f t="shared" si="80"/>
        <v>5710</v>
      </c>
      <c r="G406" s="523">
        <v>42503</v>
      </c>
      <c r="H406" s="542">
        <v>500</v>
      </c>
      <c r="I406" s="525">
        <v>12.49</v>
      </c>
      <c r="J406" s="526">
        <v>0.14000000000000001</v>
      </c>
      <c r="K406" s="526">
        <f t="shared" si="79"/>
        <v>6244.86</v>
      </c>
      <c r="L406" s="524"/>
      <c r="M406" s="526"/>
    </row>
    <row r="407" spans="1:13" ht="15" customHeight="1" x14ac:dyDescent="0.25">
      <c r="A407" s="524"/>
      <c r="B407" s="575">
        <v>42447</v>
      </c>
      <c r="C407" s="524">
        <v>650</v>
      </c>
      <c r="D407" s="525">
        <v>11.545</v>
      </c>
      <c r="E407" s="526">
        <v>0.75</v>
      </c>
      <c r="F407" s="526">
        <f t="shared" si="80"/>
        <v>7505</v>
      </c>
      <c r="G407" s="523">
        <v>42506</v>
      </c>
      <c r="H407" s="542">
        <v>300</v>
      </c>
      <c r="I407" s="525">
        <v>12.85</v>
      </c>
      <c r="J407" s="526">
        <v>0.08</v>
      </c>
      <c r="K407" s="526">
        <f t="shared" si="79"/>
        <v>3854.92</v>
      </c>
      <c r="L407" s="524"/>
      <c r="M407" s="526"/>
    </row>
    <row r="408" spans="1:13" x14ac:dyDescent="0.25">
      <c r="A408" s="524"/>
      <c r="B408" s="575">
        <v>42450</v>
      </c>
      <c r="C408" s="524">
        <v>1350</v>
      </c>
      <c r="D408" s="525">
        <v>11.42</v>
      </c>
      <c r="E408" s="526">
        <v>0</v>
      </c>
      <c r="F408" s="526">
        <f t="shared" si="80"/>
        <v>15417</v>
      </c>
      <c r="G408" s="523">
        <v>42513</v>
      </c>
      <c r="H408" s="542">
        <v>500</v>
      </c>
      <c r="I408" s="525">
        <v>13.05</v>
      </c>
      <c r="J408" s="526">
        <v>0.14000000000000001</v>
      </c>
      <c r="K408" s="526">
        <f t="shared" si="79"/>
        <v>6524.86</v>
      </c>
      <c r="L408" s="524"/>
      <c r="M408" s="526"/>
    </row>
    <row r="409" spans="1:13" x14ac:dyDescent="0.25">
      <c r="A409" s="524"/>
      <c r="B409" s="575">
        <v>42451</v>
      </c>
      <c r="C409" s="524">
        <v>1000</v>
      </c>
      <c r="D409" s="525">
        <v>11.38</v>
      </c>
      <c r="E409" s="526">
        <v>0</v>
      </c>
      <c r="F409" s="526">
        <f t="shared" si="80"/>
        <v>11380</v>
      </c>
      <c r="G409" s="523">
        <v>42515</v>
      </c>
      <c r="H409" s="542">
        <v>500</v>
      </c>
      <c r="I409" s="525">
        <v>13.59</v>
      </c>
      <c r="J409" s="526">
        <v>0.15</v>
      </c>
      <c r="K409" s="526">
        <f t="shared" si="79"/>
        <v>6794.85</v>
      </c>
      <c r="L409" s="524"/>
      <c r="M409" s="526"/>
    </row>
    <row r="410" spans="1:13" x14ac:dyDescent="0.25">
      <c r="A410" s="524"/>
      <c r="B410" s="654">
        <v>42451</v>
      </c>
      <c r="C410" s="524">
        <v>50</v>
      </c>
      <c r="D410" s="525">
        <v>11.22</v>
      </c>
      <c r="E410" s="526">
        <v>0</v>
      </c>
      <c r="F410" s="526">
        <f t="shared" si="80"/>
        <v>561</v>
      </c>
      <c r="G410" s="523">
        <v>42515</v>
      </c>
      <c r="H410" s="542">
        <v>500</v>
      </c>
      <c r="I410" s="525">
        <v>13.57</v>
      </c>
      <c r="J410" s="526">
        <v>0.15</v>
      </c>
      <c r="K410" s="526">
        <f t="shared" si="79"/>
        <v>6784.85</v>
      </c>
      <c r="L410" s="524"/>
      <c r="M410" s="526"/>
    </row>
    <row r="411" spans="1:13" x14ac:dyDescent="0.25">
      <c r="A411" s="524"/>
      <c r="B411" s="654"/>
      <c r="C411" s="524">
        <v>350</v>
      </c>
      <c r="D411" s="525">
        <v>11.22</v>
      </c>
      <c r="E411" s="526">
        <v>0</v>
      </c>
      <c r="F411" s="526">
        <f t="shared" si="80"/>
        <v>3927</v>
      </c>
      <c r="G411" s="523">
        <v>42517</v>
      </c>
      <c r="H411" s="542">
        <v>500</v>
      </c>
      <c r="I411" s="525">
        <v>12.87</v>
      </c>
      <c r="J411" s="526">
        <v>0.14000000000000001</v>
      </c>
      <c r="K411" s="526">
        <f t="shared" si="79"/>
        <v>6434.86</v>
      </c>
      <c r="L411" s="524"/>
      <c r="M411" s="526"/>
    </row>
    <row r="412" spans="1:13" ht="45" x14ac:dyDescent="0.25">
      <c r="A412" s="524"/>
      <c r="B412" s="658" t="s">
        <v>196</v>
      </c>
      <c r="C412" s="524">
        <v>650</v>
      </c>
      <c r="D412" s="525">
        <v>11.22</v>
      </c>
      <c r="E412" s="526">
        <v>0</v>
      </c>
      <c r="F412" s="526">
        <f t="shared" si="80"/>
        <v>7293</v>
      </c>
      <c r="G412" s="523">
        <v>42524</v>
      </c>
      <c r="H412" s="542">
        <v>400</v>
      </c>
      <c r="I412" s="525">
        <v>13.38</v>
      </c>
      <c r="J412" s="526">
        <v>0.12</v>
      </c>
      <c r="K412" s="526">
        <f t="shared" si="79"/>
        <v>5351.88</v>
      </c>
      <c r="L412" s="524"/>
      <c r="M412" s="526"/>
    </row>
    <row r="413" spans="1:13" x14ac:dyDescent="0.25">
      <c r="A413" s="524"/>
      <c r="B413" s="658"/>
      <c r="C413" s="524">
        <v>500</v>
      </c>
      <c r="D413" s="525">
        <v>11.01</v>
      </c>
      <c r="E413" s="526">
        <v>0</v>
      </c>
      <c r="F413" s="526">
        <f t="shared" si="80"/>
        <v>5505</v>
      </c>
      <c r="G413" s="523">
        <v>42527</v>
      </c>
      <c r="H413" s="542">
        <v>1000</v>
      </c>
      <c r="I413" s="525">
        <v>13.82</v>
      </c>
      <c r="J413" s="526">
        <v>0.3</v>
      </c>
      <c r="K413" s="526">
        <f t="shared" si="79"/>
        <v>13819.7</v>
      </c>
      <c r="L413" s="524"/>
      <c r="M413" s="526"/>
    </row>
    <row r="414" spans="1:13" ht="15" customHeight="1" x14ac:dyDescent="0.25">
      <c r="A414" s="524"/>
      <c r="B414" s="658"/>
      <c r="C414" s="524">
        <v>500</v>
      </c>
      <c r="D414" s="525">
        <v>10.75</v>
      </c>
      <c r="E414" s="526">
        <v>0</v>
      </c>
      <c r="F414" s="526">
        <f t="shared" si="80"/>
        <v>5375</v>
      </c>
      <c r="G414" s="523">
        <v>42527</v>
      </c>
      <c r="H414" s="542">
        <v>500</v>
      </c>
      <c r="I414" s="525">
        <v>13.97</v>
      </c>
      <c r="J414" s="526">
        <v>1.1499999999999999</v>
      </c>
      <c r="K414" s="526">
        <f t="shared" si="79"/>
        <v>6983.85</v>
      </c>
      <c r="L414" s="524"/>
      <c r="M414" s="526"/>
    </row>
    <row r="415" spans="1:13" x14ac:dyDescent="0.25">
      <c r="A415" s="524"/>
      <c r="B415" s="658"/>
      <c r="C415" s="524">
        <v>1000</v>
      </c>
      <c r="D415" s="525">
        <v>10.4</v>
      </c>
      <c r="E415" s="526">
        <v>0</v>
      </c>
      <c r="F415" s="526">
        <f t="shared" si="80"/>
        <v>10400</v>
      </c>
      <c r="G415" s="523">
        <v>42528</v>
      </c>
      <c r="H415" s="542">
        <v>500</v>
      </c>
      <c r="I415" s="525">
        <v>14.65</v>
      </c>
      <c r="J415" s="526">
        <v>0.16</v>
      </c>
      <c r="K415" s="526">
        <f t="shared" si="79"/>
        <v>7324.84</v>
      </c>
      <c r="L415" s="524"/>
      <c r="M415" s="526"/>
    </row>
    <row r="416" spans="1:13" x14ac:dyDescent="0.25">
      <c r="A416" s="524"/>
      <c r="B416" s="658"/>
      <c r="C416" s="524">
        <v>1000</v>
      </c>
      <c r="D416" s="525">
        <v>10.185</v>
      </c>
      <c r="E416" s="526">
        <v>0</v>
      </c>
      <c r="F416" s="526">
        <f t="shared" si="80"/>
        <v>10185</v>
      </c>
      <c r="G416" s="523">
        <v>42536</v>
      </c>
      <c r="H416" s="542">
        <v>400</v>
      </c>
      <c r="I416" s="525">
        <v>13.43</v>
      </c>
      <c r="J416" s="526">
        <v>0.12</v>
      </c>
      <c r="K416" s="526">
        <f t="shared" si="79"/>
        <v>5371.88</v>
      </c>
      <c r="L416" s="524"/>
      <c r="M416" s="526"/>
    </row>
    <row r="417" spans="1:13" x14ac:dyDescent="0.25">
      <c r="A417" s="524"/>
      <c r="B417" s="575">
        <v>42461</v>
      </c>
      <c r="C417" s="524">
        <v>2000</v>
      </c>
      <c r="D417" s="525">
        <v>10.43</v>
      </c>
      <c r="E417" s="526">
        <v>0</v>
      </c>
      <c r="F417" s="526">
        <f t="shared" si="80"/>
        <v>20860</v>
      </c>
      <c r="G417" s="523">
        <v>42537</v>
      </c>
      <c r="H417" s="542">
        <v>400</v>
      </c>
      <c r="I417" s="525">
        <v>12.69</v>
      </c>
      <c r="J417" s="526">
        <v>0.11</v>
      </c>
      <c r="K417" s="526">
        <f t="shared" si="79"/>
        <v>5075.8900000000003</v>
      </c>
      <c r="L417" s="524"/>
      <c r="M417" s="526"/>
    </row>
    <row r="418" spans="1:13" x14ac:dyDescent="0.25">
      <c r="A418" s="524"/>
      <c r="B418" s="575">
        <v>42461</v>
      </c>
      <c r="C418" s="524">
        <v>2000</v>
      </c>
      <c r="D418" s="525">
        <v>10.42</v>
      </c>
      <c r="E418" s="526">
        <v>0</v>
      </c>
      <c r="F418" s="526">
        <f t="shared" si="80"/>
        <v>20840</v>
      </c>
      <c r="G418" s="523">
        <v>42538</v>
      </c>
      <c r="H418" s="542">
        <v>500</v>
      </c>
      <c r="I418" s="525">
        <v>13.34</v>
      </c>
      <c r="J418" s="526">
        <v>0.15</v>
      </c>
      <c r="K418" s="526">
        <f t="shared" si="79"/>
        <v>6669.85</v>
      </c>
      <c r="L418" s="524"/>
      <c r="M418" s="526"/>
    </row>
    <row r="419" spans="1:13" ht="45" x14ac:dyDescent="0.25">
      <c r="A419" s="524"/>
      <c r="B419" s="575">
        <v>42465</v>
      </c>
      <c r="C419" s="524">
        <v>100</v>
      </c>
      <c r="D419" s="525">
        <v>10.4</v>
      </c>
      <c r="E419" s="526">
        <v>0</v>
      </c>
      <c r="F419" s="526">
        <f t="shared" si="80"/>
        <v>1040</v>
      </c>
      <c r="G419" s="660" t="s">
        <v>225</v>
      </c>
      <c r="H419" s="542">
        <v>500</v>
      </c>
      <c r="I419" s="525">
        <v>13.91</v>
      </c>
      <c r="J419" s="526">
        <v>0.15</v>
      </c>
      <c r="K419" s="526">
        <f t="shared" si="79"/>
        <v>6954.85</v>
      </c>
      <c r="L419" s="524"/>
      <c r="M419" s="526"/>
    </row>
    <row r="420" spans="1:13" ht="15" customHeight="1" x14ac:dyDescent="0.25">
      <c r="A420" s="524"/>
      <c r="B420" s="575">
        <v>42471</v>
      </c>
      <c r="C420" s="524">
        <v>500</v>
      </c>
      <c r="D420" s="525">
        <v>11.77</v>
      </c>
      <c r="E420" s="526">
        <v>0</v>
      </c>
      <c r="F420" s="526">
        <f t="shared" si="80"/>
        <v>5885</v>
      </c>
      <c r="G420" s="660"/>
      <c r="H420" s="542">
        <v>600</v>
      </c>
      <c r="I420" s="525">
        <v>14.36</v>
      </c>
      <c r="J420" s="526">
        <v>0.19</v>
      </c>
      <c r="K420" s="526">
        <f t="shared" si="79"/>
        <v>8615.81</v>
      </c>
      <c r="L420" s="524"/>
      <c r="M420" s="526"/>
    </row>
    <row r="421" spans="1:13" x14ac:dyDescent="0.25">
      <c r="A421" s="524"/>
      <c r="B421" s="575">
        <v>42471</v>
      </c>
      <c r="C421" s="524">
        <v>500</v>
      </c>
      <c r="D421" s="525">
        <v>11.55</v>
      </c>
      <c r="E421" s="526">
        <v>0</v>
      </c>
      <c r="F421" s="526">
        <f t="shared" si="80"/>
        <v>5775</v>
      </c>
      <c r="G421" s="660"/>
      <c r="H421" s="542">
        <v>500</v>
      </c>
      <c r="I421" s="525">
        <v>14.65</v>
      </c>
      <c r="J421" s="526">
        <v>0.16</v>
      </c>
      <c r="K421" s="526">
        <f t="shared" si="79"/>
        <v>7324.84</v>
      </c>
      <c r="L421" s="524"/>
      <c r="M421" s="526"/>
    </row>
    <row r="422" spans="1:13" x14ac:dyDescent="0.25">
      <c r="A422" s="524"/>
      <c r="B422" s="575">
        <v>42472</v>
      </c>
      <c r="C422" s="524">
        <v>610</v>
      </c>
      <c r="D422" s="525">
        <v>12.95</v>
      </c>
      <c r="E422" s="526">
        <v>0</v>
      </c>
      <c r="F422" s="526">
        <f t="shared" si="80"/>
        <v>7899.5</v>
      </c>
      <c r="G422" s="523">
        <v>42542</v>
      </c>
      <c r="H422" s="542">
        <v>500</v>
      </c>
      <c r="I422" s="525">
        <v>14.95</v>
      </c>
      <c r="J422" s="526">
        <v>0.16</v>
      </c>
      <c r="K422" s="526">
        <f t="shared" si="79"/>
        <v>7474.84</v>
      </c>
      <c r="L422" s="524"/>
      <c r="M422" s="526"/>
    </row>
    <row r="423" spans="1:13" x14ac:dyDescent="0.25">
      <c r="A423" s="524"/>
      <c r="B423" s="575">
        <v>42473</v>
      </c>
      <c r="C423" s="524">
        <v>970</v>
      </c>
      <c r="D423" s="525">
        <v>12.76</v>
      </c>
      <c r="E423" s="526">
        <v>4.0999999999999996</v>
      </c>
      <c r="F423" s="526">
        <f t="shared" si="80"/>
        <v>12381.3</v>
      </c>
      <c r="G423" s="523">
        <v>42542</v>
      </c>
      <c r="H423" s="542">
        <v>378</v>
      </c>
      <c r="I423" s="525">
        <v>15.2</v>
      </c>
      <c r="J423" s="526">
        <v>0.13</v>
      </c>
      <c r="K423" s="526">
        <f t="shared" si="79"/>
        <v>5745.4699999999993</v>
      </c>
      <c r="L423" s="524"/>
      <c r="M423" s="526"/>
    </row>
    <row r="424" spans="1:13" x14ac:dyDescent="0.25">
      <c r="A424" s="524"/>
      <c r="B424" s="575">
        <v>42474</v>
      </c>
      <c r="C424" s="524">
        <v>420</v>
      </c>
      <c r="D424" s="525">
        <v>12.755000000000001</v>
      </c>
      <c r="E424" s="526">
        <v>0.34</v>
      </c>
      <c r="F424" s="526">
        <f t="shared" si="80"/>
        <v>5357.4400000000005</v>
      </c>
      <c r="G424" s="524"/>
      <c r="H424" s="542"/>
      <c r="I424" s="525"/>
      <c r="J424" s="526"/>
      <c r="K424" s="526"/>
      <c r="L424" s="524"/>
      <c r="M424" s="526"/>
    </row>
    <row r="425" spans="1:13" x14ac:dyDescent="0.25">
      <c r="A425" s="524"/>
      <c r="B425" s="575">
        <v>42475</v>
      </c>
      <c r="C425" s="524">
        <v>500</v>
      </c>
      <c r="D425" s="525">
        <v>13.02</v>
      </c>
      <c r="E425" s="526">
        <v>-1.75</v>
      </c>
      <c r="F425" s="526">
        <f t="shared" si="80"/>
        <v>6508.25</v>
      </c>
      <c r="G425" s="524"/>
      <c r="H425" s="542"/>
      <c r="I425" s="525"/>
      <c r="J425" s="526"/>
      <c r="K425" s="526"/>
      <c r="L425" s="524"/>
      <c r="M425" s="526"/>
    </row>
    <row r="426" spans="1:13" x14ac:dyDescent="0.25">
      <c r="A426" s="524"/>
      <c r="B426" s="575">
        <v>42485</v>
      </c>
      <c r="C426" s="524">
        <v>500</v>
      </c>
      <c r="D426" s="525">
        <v>13.95</v>
      </c>
      <c r="E426" s="526">
        <v>0</v>
      </c>
      <c r="F426" s="526">
        <f t="shared" si="80"/>
        <v>6975</v>
      </c>
      <c r="G426" s="524"/>
      <c r="H426" s="542"/>
      <c r="I426" s="525"/>
      <c r="J426" s="526"/>
      <c r="K426" s="526"/>
      <c r="L426" s="524"/>
      <c r="M426" s="526"/>
    </row>
    <row r="427" spans="1:13" x14ac:dyDescent="0.25">
      <c r="A427" s="524"/>
      <c r="B427" s="575">
        <v>42487</v>
      </c>
      <c r="C427" s="524">
        <v>600</v>
      </c>
      <c r="D427" s="525">
        <v>14.63</v>
      </c>
      <c r="E427" s="526">
        <v>0</v>
      </c>
      <c r="F427" s="526">
        <f t="shared" si="80"/>
        <v>8778</v>
      </c>
      <c r="G427" s="524"/>
      <c r="H427" s="542"/>
      <c r="I427" s="525"/>
      <c r="J427" s="526"/>
      <c r="K427" s="526"/>
      <c r="L427" s="524"/>
      <c r="M427" s="526"/>
    </row>
    <row r="428" spans="1:13" x14ac:dyDescent="0.25">
      <c r="A428" s="524"/>
      <c r="B428" s="575">
        <v>42488</v>
      </c>
      <c r="C428" s="524">
        <v>500</v>
      </c>
      <c r="D428" s="525">
        <v>14.52</v>
      </c>
      <c r="E428" s="526">
        <v>0</v>
      </c>
      <c r="F428" s="526">
        <f t="shared" si="80"/>
        <v>7260</v>
      </c>
      <c r="G428" s="524"/>
      <c r="H428" s="542"/>
      <c r="I428" s="525"/>
      <c r="J428" s="526"/>
      <c r="K428" s="526"/>
      <c r="L428" s="524"/>
      <c r="M428" s="526"/>
    </row>
    <row r="429" spans="1:13" ht="30" x14ac:dyDescent="0.25">
      <c r="A429" s="661" t="s">
        <v>201</v>
      </c>
      <c r="B429" s="575">
        <v>42489</v>
      </c>
      <c r="C429" s="524">
        <v>500</v>
      </c>
      <c r="D429" s="525">
        <v>14.35</v>
      </c>
      <c r="E429" s="526">
        <v>0</v>
      </c>
      <c r="F429" s="526">
        <f t="shared" si="80"/>
        <v>7175</v>
      </c>
      <c r="G429" s="524"/>
      <c r="H429" s="542"/>
      <c r="I429" s="525"/>
      <c r="J429" s="526"/>
      <c r="K429" s="526"/>
      <c r="L429" s="524"/>
      <c r="M429" s="526"/>
    </row>
    <row r="430" spans="1:13" x14ac:dyDescent="0.25">
      <c r="A430" s="661"/>
      <c r="B430" s="575">
        <v>42489</v>
      </c>
      <c r="C430" s="524">
        <v>500</v>
      </c>
      <c r="D430" s="525">
        <v>14.15</v>
      </c>
      <c r="E430" s="526">
        <v>0</v>
      </c>
      <c r="F430" s="526">
        <f t="shared" si="80"/>
        <v>7075</v>
      </c>
      <c r="G430" s="524"/>
      <c r="H430" s="542"/>
      <c r="I430" s="525"/>
      <c r="J430" s="526"/>
      <c r="K430" s="526"/>
      <c r="L430" s="524"/>
      <c r="M430" s="526"/>
    </row>
    <row r="431" spans="1:13" x14ac:dyDescent="0.25">
      <c r="A431" s="661"/>
      <c r="B431" s="575">
        <v>42489</v>
      </c>
      <c r="C431" s="524">
        <v>1000</v>
      </c>
      <c r="D431" s="525">
        <v>13.92</v>
      </c>
      <c r="E431" s="526">
        <v>0</v>
      </c>
      <c r="F431" s="526">
        <f t="shared" si="80"/>
        <v>13920</v>
      </c>
      <c r="G431" s="524"/>
      <c r="H431" s="542"/>
      <c r="I431" s="525"/>
      <c r="J431" s="526"/>
      <c r="K431" s="526"/>
      <c r="L431" s="524"/>
      <c r="M431" s="526"/>
    </row>
    <row r="432" spans="1:13" x14ac:dyDescent="0.25">
      <c r="A432" s="661"/>
      <c r="B432" s="575">
        <v>42489</v>
      </c>
      <c r="C432" s="524">
        <v>1000</v>
      </c>
      <c r="D432" s="525">
        <v>13.8</v>
      </c>
      <c r="E432" s="526">
        <v>0</v>
      </c>
      <c r="F432" s="526">
        <f t="shared" si="80"/>
        <v>13800</v>
      </c>
      <c r="G432" s="524"/>
      <c r="H432" s="542"/>
      <c r="I432" s="525"/>
      <c r="J432" s="526"/>
      <c r="K432" s="526"/>
      <c r="L432" s="524"/>
      <c r="M432" s="526"/>
    </row>
    <row r="433" spans="1:13" x14ac:dyDescent="0.25">
      <c r="A433" s="524"/>
      <c r="B433" s="575">
        <v>42492</v>
      </c>
      <c r="C433" s="524">
        <v>1500</v>
      </c>
      <c r="D433" s="525">
        <v>13.25</v>
      </c>
      <c r="E433" s="526">
        <v>0</v>
      </c>
      <c r="F433" s="526">
        <f t="shared" si="80"/>
        <v>19875</v>
      </c>
      <c r="G433" s="524"/>
      <c r="H433" s="542"/>
      <c r="I433" s="525"/>
      <c r="J433" s="526"/>
      <c r="K433" s="526"/>
      <c r="L433" s="524"/>
      <c r="M433" s="526"/>
    </row>
    <row r="434" spans="1:13" x14ac:dyDescent="0.25">
      <c r="A434" s="524"/>
      <c r="B434" s="575">
        <v>42492</v>
      </c>
      <c r="C434" s="524">
        <v>500</v>
      </c>
      <c r="D434" s="525">
        <v>13.6</v>
      </c>
      <c r="E434" s="526">
        <v>0</v>
      </c>
      <c r="F434" s="526">
        <f t="shared" si="80"/>
        <v>6800</v>
      </c>
      <c r="G434" s="524"/>
      <c r="H434" s="542"/>
      <c r="I434" s="525"/>
      <c r="J434" s="526"/>
      <c r="K434" s="526"/>
      <c r="L434" s="524"/>
      <c r="M434" s="526"/>
    </row>
    <row r="435" spans="1:13" x14ac:dyDescent="0.25">
      <c r="A435" s="524"/>
      <c r="B435" s="575">
        <v>42493</v>
      </c>
      <c r="C435" s="524">
        <v>322</v>
      </c>
      <c r="D435" s="525">
        <v>12.85</v>
      </c>
      <c r="E435" s="526">
        <v>0</v>
      </c>
      <c r="F435" s="526">
        <f t="shared" si="80"/>
        <v>4137.7</v>
      </c>
      <c r="G435" s="524"/>
      <c r="H435" s="542"/>
      <c r="I435" s="525"/>
      <c r="J435" s="526"/>
      <c r="K435" s="526"/>
      <c r="L435" s="524"/>
      <c r="M435" s="526"/>
    </row>
    <row r="436" spans="1:13" ht="30" x14ac:dyDescent="0.25">
      <c r="A436" s="645" t="s">
        <v>205</v>
      </c>
      <c r="B436" s="575">
        <v>42494</v>
      </c>
      <c r="C436" s="524">
        <v>1000</v>
      </c>
      <c r="D436" s="525">
        <v>12.25</v>
      </c>
      <c r="E436" s="526">
        <v>0</v>
      </c>
      <c r="F436" s="526">
        <f t="shared" si="80"/>
        <v>12250</v>
      </c>
      <c r="G436" s="524"/>
      <c r="H436" s="542"/>
      <c r="I436" s="525"/>
      <c r="J436" s="526"/>
      <c r="K436" s="526"/>
      <c r="L436" s="524"/>
      <c r="M436" s="526"/>
    </row>
    <row r="437" spans="1:13" x14ac:dyDescent="0.25">
      <c r="A437" s="645"/>
      <c r="B437" s="575">
        <v>42494</v>
      </c>
      <c r="C437" s="524">
        <v>500</v>
      </c>
      <c r="D437" s="525">
        <v>12.53</v>
      </c>
      <c r="E437" s="526">
        <v>0</v>
      </c>
      <c r="F437" s="526">
        <f t="shared" si="80"/>
        <v>6265</v>
      </c>
      <c r="G437" s="524"/>
      <c r="H437" s="542"/>
      <c r="I437" s="525"/>
      <c r="J437" s="526"/>
      <c r="K437" s="526"/>
      <c r="L437" s="524"/>
      <c r="M437" s="526"/>
    </row>
    <row r="438" spans="1:13" x14ac:dyDescent="0.25">
      <c r="A438" s="645"/>
      <c r="B438" s="575">
        <v>42494</v>
      </c>
      <c r="C438" s="524">
        <v>500</v>
      </c>
      <c r="D438" s="525">
        <v>12.65</v>
      </c>
      <c r="E438" s="526">
        <v>0</v>
      </c>
      <c r="F438" s="526">
        <f t="shared" si="80"/>
        <v>6325</v>
      </c>
      <c r="G438" s="524"/>
      <c r="H438" s="542"/>
      <c r="I438" s="525"/>
      <c r="J438" s="526"/>
      <c r="K438" s="526"/>
      <c r="L438" s="524"/>
      <c r="M438" s="526"/>
    </row>
    <row r="439" spans="1:13" x14ac:dyDescent="0.25">
      <c r="A439" s="524"/>
      <c r="B439" s="575">
        <v>42495</v>
      </c>
      <c r="C439" s="524">
        <v>1000</v>
      </c>
      <c r="D439" s="525">
        <v>11.95</v>
      </c>
      <c r="E439" s="526">
        <v>0</v>
      </c>
      <c r="F439" s="526">
        <f t="shared" si="80"/>
        <v>11950</v>
      </c>
      <c r="G439" s="524"/>
      <c r="H439" s="542"/>
      <c r="I439" s="525"/>
      <c r="J439" s="526"/>
      <c r="K439" s="526"/>
      <c r="L439" s="524"/>
      <c r="M439" s="526"/>
    </row>
    <row r="440" spans="1:13" x14ac:dyDescent="0.25">
      <c r="A440" s="524"/>
      <c r="B440" s="575">
        <v>42499</v>
      </c>
      <c r="C440" s="524">
        <v>500</v>
      </c>
      <c r="D440" s="525">
        <v>11.48</v>
      </c>
      <c r="E440" s="526">
        <v>0</v>
      </c>
      <c r="F440" s="526">
        <f t="shared" si="80"/>
        <v>5740</v>
      </c>
      <c r="G440" s="524"/>
      <c r="H440" s="542"/>
      <c r="I440" s="525"/>
      <c r="J440" s="526"/>
      <c r="K440" s="526"/>
      <c r="L440" s="524"/>
      <c r="M440" s="526"/>
    </row>
    <row r="441" spans="1:13" ht="15" customHeight="1" x14ac:dyDescent="0.25">
      <c r="A441" s="524"/>
      <c r="B441" s="575">
        <v>42499</v>
      </c>
      <c r="C441" s="524">
        <v>500</v>
      </c>
      <c r="D441" s="525">
        <v>11.32</v>
      </c>
      <c r="E441" s="526">
        <v>0</v>
      </c>
      <c r="F441" s="526">
        <f t="shared" si="80"/>
        <v>5660</v>
      </c>
      <c r="G441" s="524"/>
      <c r="H441" s="542"/>
      <c r="I441" s="525"/>
      <c r="J441" s="526"/>
      <c r="K441" s="526"/>
      <c r="L441" s="524"/>
      <c r="M441" s="526"/>
    </row>
    <row r="442" spans="1:13" ht="30" x14ac:dyDescent="0.25">
      <c r="A442" s="661" t="s">
        <v>208</v>
      </c>
      <c r="B442" s="575">
        <v>42502</v>
      </c>
      <c r="C442" s="524">
        <v>500</v>
      </c>
      <c r="D442" s="525">
        <v>12.38</v>
      </c>
      <c r="E442" s="526">
        <v>0</v>
      </c>
      <c r="F442" s="526">
        <f t="shared" si="80"/>
        <v>6190</v>
      </c>
      <c r="G442" s="524"/>
      <c r="H442" s="542"/>
      <c r="I442" s="525"/>
      <c r="J442" s="526"/>
      <c r="K442" s="526"/>
      <c r="L442" s="524"/>
      <c r="M442" s="526"/>
    </row>
    <row r="443" spans="1:13" x14ac:dyDescent="0.25">
      <c r="A443" s="661"/>
      <c r="B443" s="575">
        <v>42502</v>
      </c>
      <c r="C443" s="524">
        <v>500</v>
      </c>
      <c r="D443" s="525">
        <v>12.3</v>
      </c>
      <c r="E443" s="526">
        <v>0</v>
      </c>
      <c r="F443" s="526">
        <f t="shared" si="80"/>
        <v>6150</v>
      </c>
      <c r="G443" s="524"/>
      <c r="H443" s="542"/>
      <c r="I443" s="525"/>
      <c r="J443" s="526"/>
      <c r="K443" s="526"/>
      <c r="L443" s="524"/>
      <c r="M443" s="526"/>
    </row>
    <row r="444" spans="1:13" x14ac:dyDescent="0.25">
      <c r="A444" s="661"/>
      <c r="B444" s="575">
        <v>42502</v>
      </c>
      <c r="C444" s="524">
        <v>500</v>
      </c>
      <c r="D444" s="525">
        <v>12.23</v>
      </c>
      <c r="E444" s="526">
        <v>0</v>
      </c>
      <c r="F444" s="526">
        <f t="shared" si="80"/>
        <v>6115</v>
      </c>
      <c r="G444" s="524"/>
      <c r="H444" s="542"/>
      <c r="I444" s="525"/>
      <c r="J444" s="526"/>
      <c r="K444" s="526"/>
      <c r="L444" s="524"/>
      <c r="M444" s="526"/>
    </row>
    <row r="445" spans="1:13" x14ac:dyDescent="0.25">
      <c r="A445" s="524"/>
      <c r="B445" s="575">
        <v>42503</v>
      </c>
      <c r="C445" s="524">
        <v>500</v>
      </c>
      <c r="D445" s="525">
        <v>12.41</v>
      </c>
      <c r="E445" s="526">
        <v>0</v>
      </c>
      <c r="F445" s="526">
        <f t="shared" si="80"/>
        <v>6205</v>
      </c>
      <c r="G445" s="524"/>
      <c r="H445" s="542"/>
      <c r="I445" s="525"/>
      <c r="J445" s="526"/>
      <c r="K445" s="526"/>
      <c r="L445" s="524"/>
      <c r="M445" s="526"/>
    </row>
    <row r="446" spans="1:13" x14ac:dyDescent="0.25">
      <c r="A446" s="524"/>
      <c r="B446" s="575">
        <v>42506</v>
      </c>
      <c r="C446" s="524">
        <v>300</v>
      </c>
      <c r="D446" s="525">
        <v>12.8</v>
      </c>
      <c r="E446" s="526">
        <v>0</v>
      </c>
      <c r="F446" s="526">
        <f t="shared" si="80"/>
        <v>3840</v>
      </c>
      <c r="G446" s="524"/>
      <c r="H446" s="542"/>
      <c r="I446" s="525"/>
      <c r="J446" s="526"/>
      <c r="K446" s="526"/>
      <c r="L446" s="524"/>
      <c r="M446" s="526"/>
    </row>
    <row r="447" spans="1:13" x14ac:dyDescent="0.25">
      <c r="A447" s="524"/>
      <c r="B447" s="575">
        <v>42514</v>
      </c>
      <c r="C447" s="524">
        <v>500</v>
      </c>
      <c r="D447" s="525">
        <v>13.02</v>
      </c>
      <c r="E447" s="526">
        <v>-1.65</v>
      </c>
      <c r="F447" s="526">
        <f t="shared" ref="F447:F510" si="81">C447*D447+E447</f>
        <v>6508.35</v>
      </c>
      <c r="G447" s="524"/>
      <c r="H447" s="542"/>
      <c r="I447" s="525"/>
      <c r="J447" s="526"/>
      <c r="K447" s="526"/>
      <c r="L447" s="524"/>
      <c r="M447" s="526"/>
    </row>
    <row r="448" spans="1:13" x14ac:dyDescent="0.25">
      <c r="A448" s="524"/>
      <c r="B448" s="575">
        <v>42515</v>
      </c>
      <c r="C448" s="524">
        <v>500</v>
      </c>
      <c r="D448" s="525">
        <v>13.45</v>
      </c>
      <c r="E448" s="526">
        <v>1</v>
      </c>
      <c r="F448" s="526">
        <f t="shared" si="81"/>
        <v>6726</v>
      </c>
      <c r="G448" s="524"/>
      <c r="H448" s="542"/>
      <c r="I448" s="525"/>
      <c r="J448" s="526"/>
      <c r="K448" s="526"/>
      <c r="L448" s="524"/>
      <c r="M448" s="526"/>
    </row>
    <row r="449" spans="1:13" x14ac:dyDescent="0.25">
      <c r="A449" s="524"/>
      <c r="B449" s="575">
        <v>42516</v>
      </c>
      <c r="C449" s="524">
        <v>500</v>
      </c>
      <c r="D449" s="525">
        <v>13.28</v>
      </c>
      <c r="E449" s="526">
        <v>-1.04</v>
      </c>
      <c r="F449" s="526">
        <f t="shared" si="81"/>
        <v>6638.96</v>
      </c>
      <c r="G449" s="524"/>
      <c r="H449" s="542"/>
      <c r="I449" s="525"/>
      <c r="J449" s="526"/>
      <c r="K449" s="526"/>
      <c r="L449" s="524"/>
      <c r="M449" s="526"/>
    </row>
    <row r="450" spans="1:13" x14ac:dyDescent="0.25">
      <c r="A450" s="524"/>
      <c r="B450" s="575">
        <v>42517</v>
      </c>
      <c r="C450" s="524">
        <v>500</v>
      </c>
      <c r="D450" s="525">
        <v>12.79</v>
      </c>
      <c r="E450" s="526">
        <v>0</v>
      </c>
      <c r="F450" s="526">
        <f t="shared" si="81"/>
        <v>6395</v>
      </c>
      <c r="G450" s="524"/>
      <c r="H450" s="542"/>
      <c r="I450" s="525"/>
      <c r="J450" s="526"/>
      <c r="K450" s="526"/>
      <c r="L450" s="524"/>
      <c r="M450" s="526"/>
    </row>
    <row r="451" spans="1:13" x14ac:dyDescent="0.25">
      <c r="A451" s="524"/>
      <c r="B451" s="575">
        <v>42524</v>
      </c>
      <c r="C451" s="524">
        <v>400</v>
      </c>
      <c r="D451" s="525">
        <v>13.28</v>
      </c>
      <c r="E451" s="526">
        <v>0</v>
      </c>
      <c r="F451" s="526">
        <f t="shared" si="81"/>
        <v>5312</v>
      </c>
      <c r="G451" s="524"/>
      <c r="H451" s="542"/>
      <c r="I451" s="525"/>
      <c r="J451" s="526"/>
      <c r="K451" s="526"/>
      <c r="L451" s="524"/>
      <c r="M451" s="526"/>
    </row>
    <row r="452" spans="1:13" x14ac:dyDescent="0.25">
      <c r="A452" s="524"/>
      <c r="B452" s="575">
        <v>42529</v>
      </c>
      <c r="C452" s="524">
        <v>500</v>
      </c>
      <c r="D452" s="525">
        <v>14.59</v>
      </c>
      <c r="E452" s="526">
        <v>0</v>
      </c>
      <c r="F452" s="526">
        <f t="shared" si="81"/>
        <v>7295</v>
      </c>
      <c r="G452" s="524"/>
      <c r="H452" s="542"/>
      <c r="I452" s="525"/>
      <c r="J452" s="526"/>
      <c r="K452" s="526"/>
      <c r="L452" s="524"/>
      <c r="M452" s="526"/>
    </row>
    <row r="453" spans="1:13" x14ac:dyDescent="0.25">
      <c r="A453" s="524"/>
      <c r="B453" s="575">
        <v>42531</v>
      </c>
      <c r="C453" s="524">
        <v>800</v>
      </c>
      <c r="D453" s="525">
        <v>13.79</v>
      </c>
      <c r="E453" s="526">
        <v>0</v>
      </c>
      <c r="F453" s="526">
        <f t="shared" si="81"/>
        <v>11032</v>
      </c>
      <c r="G453" s="524"/>
      <c r="H453" s="542"/>
      <c r="I453" s="525"/>
      <c r="J453" s="526"/>
      <c r="K453" s="526"/>
      <c r="L453" s="524"/>
      <c r="M453" s="526"/>
    </row>
    <row r="454" spans="1:13" x14ac:dyDescent="0.25">
      <c r="A454" s="524"/>
      <c r="B454" s="575">
        <v>42531</v>
      </c>
      <c r="C454" s="524">
        <v>300</v>
      </c>
      <c r="D454" s="525">
        <v>13.4</v>
      </c>
      <c r="E454" s="526">
        <v>0</v>
      </c>
      <c r="F454" s="526">
        <f t="shared" si="81"/>
        <v>4020</v>
      </c>
      <c r="G454" s="524"/>
      <c r="H454" s="542"/>
      <c r="I454" s="525"/>
      <c r="J454" s="526"/>
      <c r="K454" s="526"/>
      <c r="L454" s="524"/>
      <c r="M454" s="526"/>
    </row>
    <row r="455" spans="1:13" x14ac:dyDescent="0.25">
      <c r="A455" s="524"/>
      <c r="B455" s="575">
        <v>42535</v>
      </c>
      <c r="C455" s="524">
        <v>400</v>
      </c>
      <c r="D455" s="525">
        <v>12.85</v>
      </c>
      <c r="E455" s="526">
        <v>0</v>
      </c>
      <c r="F455" s="526">
        <f t="shared" si="81"/>
        <v>5140</v>
      </c>
      <c r="G455" s="524"/>
      <c r="H455" s="542"/>
      <c r="I455" s="525"/>
      <c r="J455" s="526"/>
      <c r="K455" s="526"/>
      <c r="L455" s="524"/>
      <c r="M455" s="526"/>
    </row>
    <row r="456" spans="1:13" x14ac:dyDescent="0.25">
      <c r="A456" s="524"/>
      <c r="B456" s="575">
        <v>42537</v>
      </c>
      <c r="C456" s="524">
        <v>400</v>
      </c>
      <c r="D456" s="525">
        <v>12.43</v>
      </c>
      <c r="E456" s="526">
        <v>-0.04</v>
      </c>
      <c r="F456" s="526">
        <f t="shared" si="81"/>
        <v>4971.96</v>
      </c>
      <c r="G456" s="524"/>
      <c r="H456" s="542"/>
      <c r="I456" s="525"/>
      <c r="J456" s="526"/>
      <c r="K456" s="526"/>
      <c r="L456" s="524"/>
      <c r="M456" s="526"/>
    </row>
    <row r="457" spans="1:13" x14ac:dyDescent="0.25">
      <c r="A457" s="524"/>
      <c r="B457" s="575">
        <v>42538</v>
      </c>
      <c r="C457" s="524">
        <v>500</v>
      </c>
      <c r="D457" s="525">
        <v>13.14</v>
      </c>
      <c r="E457" s="526">
        <v>0</v>
      </c>
      <c r="F457" s="526">
        <f t="shared" si="81"/>
        <v>6570</v>
      </c>
      <c r="G457" s="524"/>
      <c r="H457" s="542"/>
      <c r="I457" s="525"/>
      <c r="J457" s="526"/>
      <c r="K457" s="526"/>
      <c r="L457" s="524"/>
      <c r="M457" s="526"/>
    </row>
    <row r="458" spans="1:13" x14ac:dyDescent="0.25">
      <c r="A458" s="524"/>
      <c r="B458" s="575">
        <v>42543</v>
      </c>
      <c r="C458" s="524">
        <v>500</v>
      </c>
      <c r="D458" s="525">
        <v>14.75</v>
      </c>
      <c r="E458" s="526">
        <v>0</v>
      </c>
      <c r="F458" s="526">
        <f t="shared" si="81"/>
        <v>7375</v>
      </c>
      <c r="G458" s="523">
        <v>42544</v>
      </c>
      <c r="H458" s="542">
        <v>500</v>
      </c>
      <c r="I458" s="525">
        <v>15.24</v>
      </c>
      <c r="J458" s="526">
        <v>0.17</v>
      </c>
      <c r="K458" s="526">
        <f>H458*I458-J458</f>
        <v>7619.83</v>
      </c>
      <c r="L458" s="524"/>
      <c r="M458" s="526"/>
    </row>
    <row r="459" spans="1:13" x14ac:dyDescent="0.25">
      <c r="A459" s="524"/>
      <c r="B459" s="575">
        <v>42545</v>
      </c>
      <c r="C459" s="524">
        <v>878</v>
      </c>
      <c r="D459" s="525">
        <v>14.41</v>
      </c>
      <c r="E459" s="526">
        <v>0</v>
      </c>
      <c r="F459" s="526">
        <f t="shared" si="81"/>
        <v>12651.98</v>
      </c>
      <c r="G459" s="524"/>
      <c r="H459" s="542"/>
      <c r="I459" s="525"/>
      <c r="J459" s="526"/>
      <c r="K459" s="526"/>
      <c r="L459" s="524"/>
      <c r="M459" s="526"/>
    </row>
    <row r="460" spans="1:13" x14ac:dyDescent="0.25">
      <c r="A460" s="524"/>
      <c r="B460" s="575">
        <v>42545</v>
      </c>
      <c r="C460" s="524">
        <v>335</v>
      </c>
      <c r="D460" s="525">
        <v>14.08</v>
      </c>
      <c r="E460" s="526">
        <v>0</v>
      </c>
      <c r="F460" s="526">
        <f t="shared" si="81"/>
        <v>4716.8</v>
      </c>
      <c r="G460" s="524"/>
      <c r="H460" s="542"/>
      <c r="I460" s="525"/>
      <c r="J460" s="526"/>
      <c r="K460" s="526"/>
      <c r="L460" s="524"/>
      <c r="M460" s="526"/>
    </row>
    <row r="461" spans="1:13" ht="15" customHeight="1" x14ac:dyDescent="0.25">
      <c r="A461" s="524"/>
      <c r="B461" s="575">
        <v>42548</v>
      </c>
      <c r="C461" s="524">
        <v>965</v>
      </c>
      <c r="D461" s="525">
        <v>13.81</v>
      </c>
      <c r="E461" s="526">
        <v>0</v>
      </c>
      <c r="F461" s="526">
        <f t="shared" si="81"/>
        <v>13326.65</v>
      </c>
      <c r="G461" s="524"/>
      <c r="H461" s="542"/>
      <c r="I461" s="525"/>
      <c r="J461" s="526"/>
      <c r="K461" s="526"/>
      <c r="L461" s="524"/>
      <c r="M461" s="526"/>
    </row>
    <row r="462" spans="1:13" x14ac:dyDescent="0.25">
      <c r="A462" s="524"/>
      <c r="B462" s="575">
        <v>42548</v>
      </c>
      <c r="C462" s="524">
        <v>300</v>
      </c>
      <c r="D462" s="525">
        <v>13.58</v>
      </c>
      <c r="E462" s="526">
        <v>0</v>
      </c>
      <c r="F462" s="526">
        <f t="shared" si="81"/>
        <v>4074</v>
      </c>
      <c r="G462" s="523">
        <v>42549</v>
      </c>
      <c r="H462" s="542">
        <v>1100</v>
      </c>
      <c r="I462" s="525">
        <v>14.68</v>
      </c>
      <c r="J462" s="526">
        <v>0.35</v>
      </c>
      <c r="K462" s="526">
        <f t="shared" ref="K462:K547" si="82">H462*I462-J462</f>
        <v>16147.65</v>
      </c>
      <c r="L462" s="524"/>
      <c r="M462" s="526"/>
    </row>
    <row r="463" spans="1:13" ht="45" x14ac:dyDescent="0.25">
      <c r="A463" s="524"/>
      <c r="B463" s="575">
        <v>42556</v>
      </c>
      <c r="C463" s="524">
        <v>2178</v>
      </c>
      <c r="D463" s="525">
        <v>15.08</v>
      </c>
      <c r="E463" s="526">
        <v>0</v>
      </c>
      <c r="F463" s="526">
        <f t="shared" si="81"/>
        <v>32844.239999999998</v>
      </c>
      <c r="G463" s="657" t="s">
        <v>234</v>
      </c>
      <c r="H463" s="542">
        <v>500</v>
      </c>
      <c r="I463" s="525">
        <v>15.48</v>
      </c>
      <c r="J463" s="526">
        <v>0.17</v>
      </c>
      <c r="K463" s="526">
        <f t="shared" si="82"/>
        <v>7739.83</v>
      </c>
      <c r="L463" s="524"/>
      <c r="M463" s="526"/>
    </row>
    <row r="464" spans="1:13" x14ac:dyDescent="0.25">
      <c r="A464" s="524"/>
      <c r="B464" s="575">
        <v>42556</v>
      </c>
      <c r="C464" s="524">
        <v>500</v>
      </c>
      <c r="D464" s="525">
        <v>14.62</v>
      </c>
      <c r="E464" s="526">
        <v>0</v>
      </c>
      <c r="F464" s="526">
        <f t="shared" si="81"/>
        <v>7310</v>
      </c>
      <c r="G464" s="657"/>
      <c r="H464" s="542">
        <v>378</v>
      </c>
      <c r="I464" s="525">
        <v>15.65</v>
      </c>
      <c r="J464" s="526">
        <v>0.13</v>
      </c>
      <c r="K464" s="526">
        <f t="shared" si="82"/>
        <v>5915.57</v>
      </c>
      <c r="L464" s="524"/>
      <c r="M464" s="526"/>
    </row>
    <row r="465" spans="1:13" x14ac:dyDescent="0.25">
      <c r="A465" s="524"/>
      <c r="B465" s="575">
        <v>42557</v>
      </c>
      <c r="C465" s="524">
        <v>500</v>
      </c>
      <c r="D465" s="525">
        <v>14.78</v>
      </c>
      <c r="E465" s="526">
        <v>0</v>
      </c>
      <c r="F465" s="526">
        <f t="shared" si="81"/>
        <v>7390</v>
      </c>
      <c r="G465" s="657"/>
      <c r="H465" s="542">
        <v>500</v>
      </c>
      <c r="I465" s="525">
        <v>15.51</v>
      </c>
      <c r="J465" s="526">
        <v>0.17</v>
      </c>
      <c r="K465" s="526">
        <f t="shared" si="82"/>
        <v>7754.83</v>
      </c>
      <c r="L465" s="524"/>
      <c r="M465" s="526"/>
    </row>
    <row r="466" spans="1:13" x14ac:dyDescent="0.25">
      <c r="A466" s="524"/>
      <c r="B466" s="643">
        <v>42564</v>
      </c>
      <c r="C466" s="524">
        <v>320</v>
      </c>
      <c r="D466" s="525">
        <v>15.48</v>
      </c>
      <c r="E466" s="526">
        <v>0</v>
      </c>
      <c r="F466" s="526">
        <f t="shared" si="81"/>
        <v>4953.6000000000004</v>
      </c>
      <c r="G466" s="657"/>
      <c r="H466" s="542">
        <v>800</v>
      </c>
      <c r="I466" s="525">
        <v>15.78</v>
      </c>
      <c r="J466" s="526">
        <v>0.28000000000000003</v>
      </c>
      <c r="K466" s="526">
        <f t="shared" si="82"/>
        <v>12623.72</v>
      </c>
      <c r="L466" s="524"/>
      <c r="M466" s="526"/>
    </row>
    <row r="467" spans="1:13" x14ac:dyDescent="0.25">
      <c r="A467" s="644"/>
      <c r="B467" s="643">
        <v>42564</v>
      </c>
      <c r="C467" s="524">
        <v>160</v>
      </c>
      <c r="D467" s="525">
        <v>15.48</v>
      </c>
      <c r="E467" s="526">
        <v>0</v>
      </c>
      <c r="F467" s="526">
        <f t="shared" si="81"/>
        <v>2476.8000000000002</v>
      </c>
      <c r="G467" s="523">
        <v>42557</v>
      </c>
      <c r="H467" s="542">
        <v>500</v>
      </c>
      <c r="I467" s="525">
        <v>14.92</v>
      </c>
      <c r="J467" s="526">
        <v>0.16</v>
      </c>
      <c r="K467" s="526">
        <f t="shared" si="82"/>
        <v>7459.84</v>
      </c>
      <c r="L467" s="524"/>
      <c r="M467" s="526"/>
    </row>
    <row r="468" spans="1:13" x14ac:dyDescent="0.25">
      <c r="A468" s="644"/>
      <c r="B468" s="575">
        <v>42570</v>
      </c>
      <c r="C468" s="524">
        <v>200</v>
      </c>
      <c r="D468" s="525">
        <v>15.18</v>
      </c>
      <c r="E468" s="526">
        <v>0</v>
      </c>
      <c r="F468" s="526">
        <f t="shared" si="81"/>
        <v>3036</v>
      </c>
      <c r="G468" s="523">
        <v>42564</v>
      </c>
      <c r="H468" s="542">
        <v>420</v>
      </c>
      <c r="I468" s="525">
        <v>15.68</v>
      </c>
      <c r="J468" s="526">
        <v>0.14000000000000001</v>
      </c>
      <c r="K468" s="526">
        <f t="shared" si="82"/>
        <v>6585.4599999999991</v>
      </c>
      <c r="L468" s="524"/>
      <c r="M468" s="526"/>
    </row>
    <row r="469" spans="1:13" x14ac:dyDescent="0.25">
      <c r="A469" s="644"/>
      <c r="B469" s="575">
        <v>42570</v>
      </c>
      <c r="C469" s="524">
        <v>200</v>
      </c>
      <c r="D469" s="525">
        <v>14.68</v>
      </c>
      <c r="E469" s="526">
        <v>0</v>
      </c>
      <c r="F469" s="526">
        <f t="shared" si="81"/>
        <v>2936</v>
      </c>
      <c r="G469" s="523">
        <v>42571</v>
      </c>
      <c r="H469" s="542">
        <v>200</v>
      </c>
      <c r="I469" s="525">
        <v>14.82</v>
      </c>
      <c r="J469" s="526">
        <v>0.06</v>
      </c>
      <c r="K469" s="526">
        <f t="shared" si="82"/>
        <v>2963.94</v>
      </c>
      <c r="L469" s="524"/>
      <c r="M469" s="526"/>
    </row>
    <row r="470" spans="1:13" ht="15" customHeight="1" x14ac:dyDescent="0.25">
      <c r="A470" s="524"/>
      <c r="B470" s="575">
        <v>42571</v>
      </c>
      <c r="C470" s="524">
        <v>200</v>
      </c>
      <c r="D470" s="525">
        <v>14.33</v>
      </c>
      <c r="E470" s="526">
        <v>-1</v>
      </c>
      <c r="F470" s="526">
        <f t="shared" si="81"/>
        <v>2865</v>
      </c>
      <c r="G470" s="523">
        <v>42572</v>
      </c>
      <c r="H470" s="542">
        <v>200</v>
      </c>
      <c r="I470" s="525">
        <v>14.8</v>
      </c>
      <c r="J470" s="526">
        <v>0.06</v>
      </c>
      <c r="K470" s="526">
        <f t="shared" si="82"/>
        <v>2959.94</v>
      </c>
      <c r="L470" s="524"/>
      <c r="M470" s="526"/>
    </row>
    <row r="471" spans="1:13" x14ac:dyDescent="0.25">
      <c r="A471" s="524"/>
      <c r="B471" s="575">
        <v>42572</v>
      </c>
      <c r="C471" s="524">
        <v>60</v>
      </c>
      <c r="D471" s="525">
        <v>14.58</v>
      </c>
      <c r="E471" s="526">
        <v>0</v>
      </c>
      <c r="F471" s="526">
        <f t="shared" si="81"/>
        <v>874.8</v>
      </c>
      <c r="G471" s="523">
        <v>42577</v>
      </c>
      <c r="H471" s="542">
        <v>200</v>
      </c>
      <c r="I471" s="525">
        <v>13.78</v>
      </c>
      <c r="J471" s="526">
        <v>0.06</v>
      </c>
      <c r="K471" s="526">
        <f t="shared" si="82"/>
        <v>2755.94</v>
      </c>
      <c r="L471" s="524"/>
      <c r="M471" s="526"/>
    </row>
    <row r="472" spans="1:13" x14ac:dyDescent="0.25">
      <c r="A472" s="524"/>
      <c r="B472" s="575">
        <v>42572</v>
      </c>
      <c r="C472" s="524">
        <v>140</v>
      </c>
      <c r="D472" s="525">
        <v>14.65</v>
      </c>
      <c r="E472" s="526">
        <v>0</v>
      </c>
      <c r="F472" s="526">
        <f t="shared" si="81"/>
        <v>2051</v>
      </c>
      <c r="G472" s="523">
        <v>42580</v>
      </c>
      <c r="H472" s="542">
        <v>200</v>
      </c>
      <c r="I472" s="525">
        <v>13.224</v>
      </c>
      <c r="J472" s="526">
        <v>0.08</v>
      </c>
      <c r="K472" s="526">
        <f t="shared" si="82"/>
        <v>2644.7200000000003</v>
      </c>
      <c r="L472" s="524"/>
      <c r="M472" s="526"/>
    </row>
    <row r="473" spans="1:13" x14ac:dyDescent="0.25">
      <c r="A473" s="524"/>
      <c r="B473" s="575">
        <v>42573</v>
      </c>
      <c r="C473" s="524">
        <v>140</v>
      </c>
      <c r="D473" s="525">
        <v>14.08</v>
      </c>
      <c r="E473" s="526">
        <v>0</v>
      </c>
      <c r="F473" s="526">
        <f t="shared" si="81"/>
        <v>1971.2</v>
      </c>
      <c r="G473" s="523">
        <v>42580</v>
      </c>
      <c r="H473" s="542">
        <v>200</v>
      </c>
      <c r="I473" s="525">
        <v>13.58</v>
      </c>
      <c r="J473" s="526">
        <v>0.06</v>
      </c>
      <c r="K473" s="526">
        <f t="shared" si="82"/>
        <v>2715.94</v>
      </c>
      <c r="L473" s="524"/>
      <c r="M473" s="526"/>
    </row>
    <row r="474" spans="1:13" x14ac:dyDescent="0.25">
      <c r="A474" s="524"/>
      <c r="B474" s="575">
        <v>42576</v>
      </c>
      <c r="C474" s="524">
        <v>200</v>
      </c>
      <c r="D474" s="525">
        <v>13.55</v>
      </c>
      <c r="E474" s="526">
        <v>0</v>
      </c>
      <c r="F474" s="526">
        <f t="shared" si="81"/>
        <v>2710</v>
      </c>
      <c r="G474" s="523">
        <v>42586</v>
      </c>
      <c r="H474" s="542">
        <v>400</v>
      </c>
      <c r="I474" s="525">
        <v>13.78</v>
      </c>
      <c r="J474" s="526">
        <v>0.12</v>
      </c>
      <c r="K474" s="526">
        <f t="shared" si="82"/>
        <v>5511.88</v>
      </c>
      <c r="L474" s="524"/>
      <c r="M474" s="526"/>
    </row>
    <row r="475" spans="1:13" x14ac:dyDescent="0.25">
      <c r="A475" s="524"/>
      <c r="B475" s="575">
        <v>42578</v>
      </c>
      <c r="C475" s="524">
        <v>200</v>
      </c>
      <c r="D475" s="525">
        <v>13.18</v>
      </c>
      <c r="E475" s="526">
        <v>0</v>
      </c>
      <c r="F475" s="526">
        <f t="shared" si="81"/>
        <v>2636</v>
      </c>
      <c r="G475" s="523">
        <v>42586</v>
      </c>
      <c r="H475" s="542">
        <v>400</v>
      </c>
      <c r="I475" s="525">
        <v>13.72</v>
      </c>
      <c r="J475" s="526">
        <v>0.12</v>
      </c>
      <c r="K475" s="526">
        <f t="shared" si="82"/>
        <v>5487.88</v>
      </c>
      <c r="L475" s="524"/>
      <c r="M475" s="526"/>
    </row>
    <row r="476" spans="1:13" x14ac:dyDescent="0.25">
      <c r="A476" s="524"/>
      <c r="B476" s="575">
        <v>42580</v>
      </c>
      <c r="C476" s="524">
        <v>200</v>
      </c>
      <c r="D476" s="525">
        <v>13.15</v>
      </c>
      <c r="E476" s="526">
        <v>0</v>
      </c>
      <c r="F476" s="526">
        <f t="shared" si="81"/>
        <v>2630</v>
      </c>
      <c r="G476" s="523">
        <v>42586</v>
      </c>
      <c r="H476" s="542">
        <v>140</v>
      </c>
      <c r="I476" s="525">
        <v>13.88</v>
      </c>
      <c r="J476" s="526">
        <v>0.04</v>
      </c>
      <c r="K476" s="526">
        <f t="shared" si="82"/>
        <v>1943.16</v>
      </c>
      <c r="L476" s="524"/>
      <c r="M476" s="526"/>
    </row>
    <row r="477" spans="1:13" x14ac:dyDescent="0.25">
      <c r="A477" s="524"/>
      <c r="B477" s="575">
        <v>42583</v>
      </c>
      <c r="C477" s="640">
        <v>20</v>
      </c>
      <c r="D477" s="525">
        <v>13.02</v>
      </c>
      <c r="E477" s="526">
        <v>0</v>
      </c>
      <c r="F477" s="526">
        <f t="shared" si="81"/>
        <v>260.39999999999998</v>
      </c>
      <c r="G477" s="523">
        <v>42593</v>
      </c>
      <c r="H477" s="542">
        <v>460</v>
      </c>
      <c r="I477" s="525">
        <v>14.59</v>
      </c>
      <c r="J477" s="526">
        <v>0.15</v>
      </c>
      <c r="K477" s="526">
        <f t="shared" si="82"/>
        <v>6711.25</v>
      </c>
      <c r="L477" s="524"/>
      <c r="M477" s="526"/>
    </row>
    <row r="478" spans="1:13" x14ac:dyDescent="0.25">
      <c r="A478" s="524"/>
      <c r="B478" s="575">
        <v>42583</v>
      </c>
      <c r="C478" s="524">
        <v>180</v>
      </c>
      <c r="D478" s="525">
        <v>13.02</v>
      </c>
      <c r="E478" s="526">
        <v>0</v>
      </c>
      <c r="F478" s="526">
        <f t="shared" si="81"/>
        <v>2343.6</v>
      </c>
      <c r="G478" s="523">
        <v>42594</v>
      </c>
      <c r="H478" s="542">
        <v>500</v>
      </c>
      <c r="I478" s="525">
        <v>14.88</v>
      </c>
      <c r="J478" s="526">
        <v>0.16</v>
      </c>
      <c r="K478" s="526">
        <f t="shared" si="82"/>
        <v>7439.84</v>
      </c>
      <c r="L478" s="524"/>
      <c r="M478" s="526"/>
    </row>
    <row r="479" spans="1:13" x14ac:dyDescent="0.25">
      <c r="A479" s="524"/>
      <c r="B479" s="575">
        <v>42584</v>
      </c>
      <c r="C479" s="524">
        <v>120</v>
      </c>
      <c r="D479" s="525">
        <v>12.68</v>
      </c>
      <c r="E479" s="526">
        <v>0</v>
      </c>
      <c r="F479" s="526">
        <f t="shared" si="81"/>
        <v>1521.6</v>
      </c>
      <c r="G479" s="523">
        <v>42598</v>
      </c>
      <c r="H479" s="542">
        <v>500</v>
      </c>
      <c r="I479" s="525">
        <v>15.18</v>
      </c>
      <c r="J479" s="526">
        <v>0.17</v>
      </c>
      <c r="K479" s="526">
        <f t="shared" si="82"/>
        <v>7589.83</v>
      </c>
      <c r="L479" s="524"/>
      <c r="M479" s="526"/>
    </row>
    <row r="480" spans="1:13" x14ac:dyDescent="0.25">
      <c r="A480" s="524"/>
      <c r="B480" s="575">
        <v>42584</v>
      </c>
      <c r="C480" s="524">
        <v>80</v>
      </c>
      <c r="D480" s="525">
        <v>12.68</v>
      </c>
      <c r="E480" s="526">
        <v>0</v>
      </c>
      <c r="F480" s="526">
        <f t="shared" si="81"/>
        <v>1014.4</v>
      </c>
      <c r="G480" s="523">
        <v>42599</v>
      </c>
      <c r="H480" s="542">
        <v>500</v>
      </c>
      <c r="I480" s="525">
        <v>15.18</v>
      </c>
      <c r="J480" s="526">
        <v>0.17</v>
      </c>
      <c r="K480" s="526">
        <f t="shared" si="82"/>
        <v>7589.83</v>
      </c>
      <c r="L480" s="524"/>
      <c r="M480" s="526"/>
    </row>
    <row r="481" spans="1:13" x14ac:dyDescent="0.25">
      <c r="A481" s="524"/>
      <c r="B481" s="575">
        <v>42585</v>
      </c>
      <c r="C481" s="524">
        <v>242</v>
      </c>
      <c r="D481" s="525">
        <v>13.38</v>
      </c>
      <c r="E481" s="526">
        <v>0</v>
      </c>
      <c r="F481" s="526">
        <f t="shared" si="81"/>
        <v>3237.96</v>
      </c>
      <c r="G481" s="523">
        <v>42599</v>
      </c>
      <c r="H481" s="542">
        <v>500</v>
      </c>
      <c r="I481" s="525">
        <v>15.41</v>
      </c>
      <c r="J481" s="526">
        <v>0.17</v>
      </c>
      <c r="K481" s="526">
        <f t="shared" si="82"/>
        <v>7704.83</v>
      </c>
      <c r="L481" s="524"/>
      <c r="M481" s="526"/>
    </row>
    <row r="482" spans="1:13" x14ac:dyDescent="0.25">
      <c r="A482" s="524"/>
      <c r="B482" s="575">
        <v>42585</v>
      </c>
      <c r="C482" s="524">
        <v>158</v>
      </c>
      <c r="D482" s="525">
        <v>13.38</v>
      </c>
      <c r="E482" s="526">
        <v>0</v>
      </c>
      <c r="F482" s="526">
        <f t="shared" si="81"/>
        <v>2114.04</v>
      </c>
      <c r="G482" s="523">
        <v>42599</v>
      </c>
      <c r="H482" s="542">
        <v>500</v>
      </c>
      <c r="I482" s="525">
        <v>15.65</v>
      </c>
      <c r="J482" s="526">
        <v>0.17</v>
      </c>
      <c r="K482" s="526">
        <f t="shared" si="82"/>
        <v>7824.83</v>
      </c>
      <c r="L482" s="524"/>
      <c r="M482" s="526"/>
    </row>
    <row r="483" spans="1:13" ht="45" x14ac:dyDescent="0.25">
      <c r="A483" s="524"/>
      <c r="B483" s="575">
        <v>42594</v>
      </c>
      <c r="C483" s="524">
        <v>500</v>
      </c>
      <c r="D483" s="525">
        <v>14.65</v>
      </c>
      <c r="E483" s="526">
        <v>0</v>
      </c>
      <c r="F483" s="526">
        <f t="shared" si="81"/>
        <v>7325</v>
      </c>
      <c r="G483" s="662" t="s">
        <v>267</v>
      </c>
      <c r="H483" s="542">
        <v>500</v>
      </c>
      <c r="I483" s="525">
        <v>16.18</v>
      </c>
      <c r="J483" s="526">
        <v>0.18</v>
      </c>
      <c r="K483" s="526">
        <f t="shared" si="82"/>
        <v>8089.82</v>
      </c>
      <c r="L483" s="524"/>
      <c r="M483" s="526"/>
    </row>
    <row r="484" spans="1:13" x14ac:dyDescent="0.25">
      <c r="A484" s="524"/>
      <c r="B484" s="575">
        <v>42599</v>
      </c>
      <c r="C484" s="524">
        <v>242</v>
      </c>
      <c r="D484" s="525">
        <v>14.95</v>
      </c>
      <c r="E484" s="526">
        <v>0</v>
      </c>
      <c r="F484" s="526">
        <f t="shared" si="81"/>
        <v>3617.8999999999996</v>
      </c>
      <c r="G484" s="662"/>
      <c r="H484" s="542">
        <v>500</v>
      </c>
      <c r="I484" s="525">
        <v>16.38</v>
      </c>
      <c r="J484" s="526">
        <v>0.18</v>
      </c>
      <c r="K484" s="526">
        <f t="shared" si="82"/>
        <v>8189.8199999999988</v>
      </c>
      <c r="L484" s="524"/>
      <c r="M484" s="526"/>
    </row>
    <row r="485" spans="1:13" x14ac:dyDescent="0.25">
      <c r="A485" s="524"/>
      <c r="B485" s="575">
        <v>42599</v>
      </c>
      <c r="C485" s="524">
        <v>200</v>
      </c>
      <c r="D485" s="525">
        <v>14.95</v>
      </c>
      <c r="E485" s="526">
        <v>0</v>
      </c>
      <c r="F485" s="526">
        <f t="shared" si="81"/>
        <v>2990</v>
      </c>
      <c r="G485" s="662"/>
      <c r="H485" s="542">
        <v>178</v>
      </c>
      <c r="I485" s="525">
        <v>16.5</v>
      </c>
      <c r="J485" s="526">
        <v>0.06</v>
      </c>
      <c r="K485" s="526">
        <f t="shared" si="82"/>
        <v>2936.94</v>
      </c>
      <c r="L485" s="524"/>
      <c r="M485" s="526"/>
    </row>
    <row r="486" spans="1:13" x14ac:dyDescent="0.25">
      <c r="A486" s="524"/>
      <c r="B486" s="575">
        <v>42599</v>
      </c>
      <c r="C486" s="524">
        <v>36</v>
      </c>
      <c r="D486" s="525">
        <v>14.95</v>
      </c>
      <c r="E486" s="526">
        <v>0</v>
      </c>
      <c r="F486" s="526">
        <f t="shared" si="81"/>
        <v>538.19999999999993</v>
      </c>
      <c r="G486" s="662"/>
      <c r="H486" s="542">
        <v>500</v>
      </c>
      <c r="I486" s="525">
        <v>16.72</v>
      </c>
      <c r="J486" s="526">
        <v>0.18</v>
      </c>
      <c r="K486" s="526">
        <f t="shared" si="82"/>
        <v>8359.82</v>
      </c>
      <c r="L486" s="524"/>
      <c r="M486" s="526"/>
    </row>
    <row r="487" spans="1:13" x14ac:dyDescent="0.25">
      <c r="A487" s="524"/>
      <c r="B487" s="575">
        <v>42599</v>
      </c>
      <c r="C487" s="524">
        <v>22</v>
      </c>
      <c r="D487" s="525">
        <v>14.95</v>
      </c>
      <c r="E487" s="526">
        <v>0</v>
      </c>
      <c r="F487" s="526">
        <f t="shared" si="81"/>
        <v>328.9</v>
      </c>
      <c r="G487" s="523">
        <v>42601</v>
      </c>
      <c r="H487" s="542">
        <v>500</v>
      </c>
      <c r="I487" s="525">
        <v>16.82</v>
      </c>
      <c r="J487" s="526">
        <v>0.18</v>
      </c>
      <c r="K487" s="526">
        <f t="shared" si="82"/>
        <v>8409.82</v>
      </c>
      <c r="L487" s="524"/>
      <c r="M487" s="526"/>
    </row>
    <row r="488" spans="1:13" x14ac:dyDescent="0.25">
      <c r="A488" s="524"/>
      <c r="B488" s="575">
        <v>42604</v>
      </c>
      <c r="C488" s="524">
        <v>1000</v>
      </c>
      <c r="D488" s="525">
        <v>15.68</v>
      </c>
      <c r="E488" s="526">
        <v>0</v>
      </c>
      <c r="F488" s="526">
        <f t="shared" si="81"/>
        <v>15680</v>
      </c>
      <c r="G488" s="523">
        <v>42605</v>
      </c>
      <c r="H488" s="542">
        <v>500</v>
      </c>
      <c r="I488" s="525">
        <v>15.98</v>
      </c>
      <c r="J488" s="526">
        <v>0.17</v>
      </c>
      <c r="K488" s="526">
        <f t="shared" si="82"/>
        <v>7989.83</v>
      </c>
      <c r="L488" s="524"/>
      <c r="M488" s="526"/>
    </row>
    <row r="489" spans="1:13" x14ac:dyDescent="0.25">
      <c r="A489" s="524"/>
      <c r="B489" s="575">
        <v>42604</v>
      </c>
      <c r="C489" s="524">
        <v>500</v>
      </c>
      <c r="D489" s="525">
        <v>15.48</v>
      </c>
      <c r="E489" s="526">
        <v>0</v>
      </c>
      <c r="F489" s="526">
        <f t="shared" si="81"/>
        <v>7740</v>
      </c>
      <c r="G489" s="523">
        <v>42605</v>
      </c>
      <c r="H489" s="542">
        <v>500</v>
      </c>
      <c r="I489" s="525">
        <v>16.25</v>
      </c>
      <c r="J489" s="526">
        <v>0.18</v>
      </c>
      <c r="K489" s="526">
        <f t="shared" si="82"/>
        <v>8124.82</v>
      </c>
      <c r="L489" s="524"/>
      <c r="M489" s="526"/>
    </row>
    <row r="490" spans="1:13" x14ac:dyDescent="0.25">
      <c r="A490" s="524"/>
      <c r="B490" s="575">
        <v>42606</v>
      </c>
      <c r="C490" s="524">
        <v>178</v>
      </c>
      <c r="D490" s="525">
        <v>16.059999999999999</v>
      </c>
      <c r="E490" s="526">
        <v>0</v>
      </c>
      <c r="F490" s="526">
        <f t="shared" si="81"/>
        <v>2858.68</v>
      </c>
      <c r="G490" s="523">
        <v>42605</v>
      </c>
      <c r="H490" s="542">
        <v>500</v>
      </c>
      <c r="I490" s="525">
        <v>16.48</v>
      </c>
      <c r="J490" s="526">
        <v>0.18</v>
      </c>
      <c r="K490" s="526">
        <f t="shared" si="82"/>
        <v>8239.82</v>
      </c>
      <c r="L490" s="524"/>
      <c r="M490" s="526"/>
    </row>
    <row r="491" spans="1:13" x14ac:dyDescent="0.25">
      <c r="A491" s="524"/>
      <c r="B491" s="575">
        <v>42608</v>
      </c>
      <c r="C491" s="524">
        <v>500</v>
      </c>
      <c r="D491" s="525">
        <v>15.98</v>
      </c>
      <c r="E491" s="526">
        <v>0</v>
      </c>
      <c r="F491" s="526">
        <f t="shared" si="81"/>
        <v>7990</v>
      </c>
      <c r="G491" s="523">
        <v>42615</v>
      </c>
      <c r="H491" s="542">
        <v>500</v>
      </c>
      <c r="I491" s="525">
        <v>15.65</v>
      </c>
      <c r="J491" s="526">
        <v>0.17</v>
      </c>
      <c r="K491" s="526">
        <f t="shared" si="82"/>
        <v>7824.83</v>
      </c>
      <c r="L491" s="524"/>
      <c r="M491" s="526"/>
    </row>
    <row r="492" spans="1:13" ht="30" x14ac:dyDescent="0.25">
      <c r="A492" s="524"/>
      <c r="B492" s="575">
        <v>42608</v>
      </c>
      <c r="C492" s="524">
        <v>500</v>
      </c>
      <c r="D492" s="525">
        <v>15.85</v>
      </c>
      <c r="E492" s="526">
        <v>0</v>
      </c>
      <c r="F492" s="526">
        <f t="shared" si="81"/>
        <v>7925</v>
      </c>
      <c r="G492" s="523">
        <v>42621</v>
      </c>
      <c r="H492" s="542">
        <v>500</v>
      </c>
      <c r="I492" s="525">
        <v>16.72</v>
      </c>
      <c r="J492" s="526">
        <v>0.18</v>
      </c>
      <c r="K492" s="526">
        <f t="shared" si="82"/>
        <v>8359.82</v>
      </c>
      <c r="L492" s="663" t="s">
        <v>280</v>
      </c>
      <c r="M492" s="526"/>
    </row>
    <row r="493" spans="1:13" x14ac:dyDescent="0.25">
      <c r="A493" s="524"/>
      <c r="B493" s="575">
        <v>42612</v>
      </c>
      <c r="C493" s="524">
        <v>500</v>
      </c>
      <c r="D493" s="525">
        <v>15.68</v>
      </c>
      <c r="E493" s="526">
        <v>0</v>
      </c>
      <c r="F493" s="526">
        <f t="shared" si="81"/>
        <v>7840</v>
      </c>
      <c r="G493" s="523">
        <v>42621</v>
      </c>
      <c r="H493" s="542">
        <v>500</v>
      </c>
      <c r="I493" s="525">
        <v>16.28</v>
      </c>
      <c r="J493" s="526">
        <v>0.18</v>
      </c>
      <c r="K493" s="526">
        <f t="shared" si="82"/>
        <v>8139.8200000000006</v>
      </c>
      <c r="L493" s="663"/>
      <c r="M493" s="526"/>
    </row>
    <row r="494" spans="1:13" x14ac:dyDescent="0.25">
      <c r="A494" s="524"/>
      <c r="B494" s="575">
        <v>42612</v>
      </c>
      <c r="C494" s="524">
        <v>500</v>
      </c>
      <c r="D494" s="525">
        <v>15.55</v>
      </c>
      <c r="E494" s="526">
        <v>0</v>
      </c>
      <c r="F494" s="526">
        <f t="shared" si="81"/>
        <v>7775</v>
      </c>
      <c r="G494" s="523">
        <v>42621</v>
      </c>
      <c r="H494" s="542">
        <v>220</v>
      </c>
      <c r="I494" s="525">
        <v>16.77</v>
      </c>
      <c r="J494" s="526">
        <v>0.08</v>
      </c>
      <c r="K494" s="526">
        <f t="shared" si="82"/>
        <v>3689.32</v>
      </c>
      <c r="L494" s="663"/>
      <c r="M494" s="526"/>
    </row>
    <row r="495" spans="1:13" ht="15" customHeight="1" x14ac:dyDescent="0.25">
      <c r="A495" s="524"/>
      <c r="B495" s="575">
        <v>42613</v>
      </c>
      <c r="C495" s="524">
        <v>500</v>
      </c>
      <c r="D495" s="525">
        <v>15.244999999999999</v>
      </c>
      <c r="E495" s="526">
        <v>0</v>
      </c>
      <c r="F495" s="526">
        <f t="shared" si="81"/>
        <v>7622.5</v>
      </c>
      <c r="G495" s="523">
        <v>42625</v>
      </c>
      <c r="H495" s="542">
        <v>500</v>
      </c>
      <c r="I495" s="525">
        <v>15.5</v>
      </c>
      <c r="J495" s="526">
        <v>0.17</v>
      </c>
      <c r="K495" s="526">
        <f t="shared" si="82"/>
        <v>7749.83</v>
      </c>
      <c r="L495" s="524"/>
      <c r="M495" s="526"/>
    </row>
    <row r="496" spans="1:13" x14ac:dyDescent="0.25">
      <c r="A496" s="524"/>
      <c r="B496" s="575">
        <v>42613</v>
      </c>
      <c r="C496" s="524">
        <v>500</v>
      </c>
      <c r="D496" s="525">
        <v>15.08</v>
      </c>
      <c r="E496" s="526">
        <v>0</v>
      </c>
      <c r="F496" s="526">
        <f t="shared" si="81"/>
        <v>7540</v>
      </c>
      <c r="G496" s="523">
        <v>42628</v>
      </c>
      <c r="H496" s="542">
        <v>300</v>
      </c>
      <c r="I496" s="525">
        <v>14.46</v>
      </c>
      <c r="J496" s="526">
        <v>0.09</v>
      </c>
      <c r="K496" s="526">
        <f t="shared" si="82"/>
        <v>4337.91</v>
      </c>
      <c r="L496" s="524"/>
      <c r="M496" s="526"/>
    </row>
    <row r="497" spans="1:13" x14ac:dyDescent="0.25">
      <c r="A497" s="524"/>
      <c r="B497" s="575">
        <v>42622</v>
      </c>
      <c r="C497" s="524">
        <v>220</v>
      </c>
      <c r="D497" s="525">
        <v>16.25</v>
      </c>
      <c r="E497" s="526">
        <v>0</v>
      </c>
      <c r="F497" s="526">
        <f t="shared" si="81"/>
        <v>3575</v>
      </c>
      <c r="G497" s="523">
        <v>42634</v>
      </c>
      <c r="H497" s="542">
        <v>322</v>
      </c>
      <c r="I497" s="525">
        <v>14.28</v>
      </c>
      <c r="J497" s="526">
        <v>0.1</v>
      </c>
      <c r="K497" s="526">
        <f t="shared" si="82"/>
        <v>4598.0599999999995</v>
      </c>
      <c r="L497" s="524"/>
      <c r="M497" s="526"/>
    </row>
    <row r="498" spans="1:13" x14ac:dyDescent="0.25">
      <c r="A498" s="524"/>
      <c r="B498" s="575">
        <v>42622</v>
      </c>
      <c r="C498" s="524">
        <v>500</v>
      </c>
      <c r="D498" s="525">
        <v>15.98</v>
      </c>
      <c r="E498" s="526">
        <v>0</v>
      </c>
      <c r="F498" s="526">
        <f t="shared" si="81"/>
        <v>7990</v>
      </c>
      <c r="G498" s="523">
        <v>42634</v>
      </c>
      <c r="H498" s="542">
        <v>400</v>
      </c>
      <c r="I498" s="525">
        <v>14.64</v>
      </c>
      <c r="J498" s="526">
        <v>0.13</v>
      </c>
      <c r="K498" s="526">
        <f t="shared" si="82"/>
        <v>5855.87</v>
      </c>
      <c r="L498" s="524"/>
      <c r="M498" s="526"/>
    </row>
    <row r="499" spans="1:13" x14ac:dyDescent="0.25">
      <c r="A499" s="524"/>
      <c r="B499" s="575">
        <v>42622</v>
      </c>
      <c r="C499" s="524">
        <v>500</v>
      </c>
      <c r="D499" s="525">
        <v>15.75</v>
      </c>
      <c r="E499" s="526">
        <v>0</v>
      </c>
      <c r="F499" s="526">
        <f t="shared" si="81"/>
        <v>7875</v>
      </c>
      <c r="G499" s="523">
        <v>42639</v>
      </c>
      <c r="H499" s="542">
        <v>200</v>
      </c>
      <c r="I499" s="525">
        <v>14.72</v>
      </c>
      <c r="J499" s="526">
        <v>0.06</v>
      </c>
      <c r="K499" s="526">
        <f t="shared" si="82"/>
        <v>2943.94</v>
      </c>
      <c r="L499" s="524"/>
      <c r="M499" s="526"/>
    </row>
    <row r="500" spans="1:13" x14ac:dyDescent="0.25">
      <c r="A500" s="524"/>
      <c r="B500" s="575">
        <v>42625</v>
      </c>
      <c r="C500" s="524">
        <v>500</v>
      </c>
      <c r="D500" s="525">
        <v>15.22</v>
      </c>
      <c r="E500" s="526">
        <v>0</v>
      </c>
      <c r="F500" s="526">
        <f t="shared" si="81"/>
        <v>7610</v>
      </c>
      <c r="G500" s="523">
        <v>42641</v>
      </c>
      <c r="H500" s="542">
        <v>300</v>
      </c>
      <c r="I500" s="525">
        <v>15.28</v>
      </c>
      <c r="J500" s="526">
        <v>0.1</v>
      </c>
      <c r="K500" s="526">
        <f t="shared" si="82"/>
        <v>4583.8999999999996</v>
      </c>
      <c r="L500" s="524"/>
      <c r="M500" s="526"/>
    </row>
    <row r="501" spans="1:13" ht="30" x14ac:dyDescent="0.25">
      <c r="A501" s="645" t="s">
        <v>290</v>
      </c>
      <c r="B501" s="575">
        <v>42626</v>
      </c>
      <c r="C501" s="524">
        <v>600</v>
      </c>
      <c r="D501" s="525">
        <v>14.91</v>
      </c>
      <c r="E501" s="526">
        <v>-3</v>
      </c>
      <c r="F501" s="526">
        <f t="shared" si="81"/>
        <v>8943</v>
      </c>
      <c r="G501" s="523">
        <v>42641</v>
      </c>
      <c r="H501" s="542">
        <v>400</v>
      </c>
      <c r="I501" s="525">
        <v>15.06</v>
      </c>
      <c r="J501" s="526">
        <v>0.13</v>
      </c>
      <c r="K501" s="526">
        <f t="shared" si="82"/>
        <v>6023.87</v>
      </c>
      <c r="L501" s="524"/>
      <c r="M501" s="526"/>
    </row>
    <row r="502" spans="1:13" x14ac:dyDescent="0.25">
      <c r="A502" s="645"/>
      <c r="B502" s="575">
        <v>42626</v>
      </c>
      <c r="C502" s="524">
        <v>400</v>
      </c>
      <c r="D502" s="525">
        <v>14.75</v>
      </c>
      <c r="E502" s="526">
        <v>0</v>
      </c>
      <c r="F502" s="526">
        <f t="shared" si="81"/>
        <v>5900</v>
      </c>
      <c r="G502" s="523">
        <v>42641</v>
      </c>
      <c r="H502" s="542">
        <v>322</v>
      </c>
      <c r="I502" s="525">
        <v>14.39</v>
      </c>
      <c r="J502" s="526">
        <v>0.1</v>
      </c>
      <c r="K502" s="526">
        <f t="shared" si="82"/>
        <v>4633.4799999999996</v>
      </c>
      <c r="L502" s="524"/>
      <c r="M502" s="526"/>
    </row>
    <row r="503" spans="1:13" x14ac:dyDescent="0.25">
      <c r="A503" s="645"/>
      <c r="B503" s="575">
        <v>42626</v>
      </c>
      <c r="C503" s="524">
        <v>300</v>
      </c>
      <c r="D503" s="525">
        <v>14.48</v>
      </c>
      <c r="E503" s="526">
        <v>0</v>
      </c>
      <c r="F503" s="526">
        <f t="shared" si="81"/>
        <v>4344</v>
      </c>
      <c r="G503" s="523">
        <v>42641</v>
      </c>
      <c r="H503" s="542">
        <v>500</v>
      </c>
      <c r="I503" s="525">
        <v>14.26</v>
      </c>
      <c r="J503" s="526">
        <v>0.16</v>
      </c>
      <c r="K503" s="526">
        <f t="shared" si="82"/>
        <v>7129.84</v>
      </c>
      <c r="L503" s="524"/>
      <c r="M503" s="526"/>
    </row>
    <row r="504" spans="1:13" x14ac:dyDescent="0.25">
      <c r="A504" s="645"/>
      <c r="B504" s="575">
        <v>42626</v>
      </c>
      <c r="C504" s="524">
        <v>300</v>
      </c>
      <c r="D504" s="525">
        <v>14.25</v>
      </c>
      <c r="E504" s="526">
        <v>0</v>
      </c>
      <c r="F504" s="526">
        <f t="shared" si="81"/>
        <v>4275</v>
      </c>
      <c r="G504" s="523">
        <v>42642</v>
      </c>
      <c r="H504" s="542">
        <v>300</v>
      </c>
      <c r="I504" s="525">
        <v>15.28</v>
      </c>
      <c r="J504" s="526">
        <v>0.1</v>
      </c>
      <c r="K504" s="526">
        <f t="shared" si="82"/>
        <v>4583.8999999999996</v>
      </c>
      <c r="L504" s="524"/>
      <c r="M504" s="526"/>
    </row>
    <row r="505" spans="1:13" x14ac:dyDescent="0.25">
      <c r="A505" s="645"/>
      <c r="B505" s="575">
        <v>42627</v>
      </c>
      <c r="C505" s="524">
        <v>200</v>
      </c>
      <c r="D505" s="525">
        <v>14.02</v>
      </c>
      <c r="E505" s="526">
        <v>-1</v>
      </c>
      <c r="F505" s="526">
        <f t="shared" si="81"/>
        <v>2803</v>
      </c>
      <c r="G505" s="523">
        <v>42642</v>
      </c>
      <c r="H505" s="542">
        <v>700</v>
      </c>
      <c r="I505" s="525">
        <v>15.78</v>
      </c>
      <c r="J505" s="526">
        <v>0.24</v>
      </c>
      <c r="K505" s="526">
        <f t="shared" si="82"/>
        <v>11045.76</v>
      </c>
      <c r="L505" s="524"/>
      <c r="M505" s="526"/>
    </row>
    <row r="506" spans="1:13" x14ac:dyDescent="0.25">
      <c r="A506" s="524"/>
      <c r="B506" s="575">
        <v>42628</v>
      </c>
      <c r="C506" s="524">
        <v>300</v>
      </c>
      <c r="D506" s="525">
        <v>14.3</v>
      </c>
      <c r="E506" s="526">
        <v>0</v>
      </c>
      <c r="F506" s="526">
        <f t="shared" si="81"/>
        <v>4290</v>
      </c>
      <c r="G506" s="523">
        <v>42642</v>
      </c>
      <c r="H506" s="542">
        <v>214</v>
      </c>
      <c r="I506" s="525">
        <v>15.98</v>
      </c>
      <c r="J506" s="526">
        <v>7.0000000000000007E-2</v>
      </c>
      <c r="K506" s="526">
        <f t="shared" si="82"/>
        <v>3419.65</v>
      </c>
      <c r="L506" s="524"/>
      <c r="M506" s="526"/>
    </row>
    <row r="507" spans="1:13" x14ac:dyDescent="0.25">
      <c r="A507" s="524"/>
      <c r="B507" s="575">
        <v>42632</v>
      </c>
      <c r="C507" s="524">
        <v>200</v>
      </c>
      <c r="D507" s="525">
        <v>14.06</v>
      </c>
      <c r="E507" s="526">
        <v>0</v>
      </c>
      <c r="F507" s="526">
        <f t="shared" si="81"/>
        <v>2812</v>
      </c>
      <c r="G507" s="523">
        <v>42648</v>
      </c>
      <c r="H507" s="542">
        <v>1000</v>
      </c>
      <c r="I507" s="525">
        <v>16.079999999999998</v>
      </c>
      <c r="J507" s="526">
        <v>0.35</v>
      </c>
      <c r="K507" s="526">
        <f t="shared" si="82"/>
        <v>16079.649999999998</v>
      </c>
      <c r="L507" s="524"/>
      <c r="M507" s="526"/>
    </row>
    <row r="508" spans="1:13" x14ac:dyDescent="0.25">
      <c r="A508" s="524"/>
      <c r="B508" s="575">
        <v>42633</v>
      </c>
      <c r="C508" s="524">
        <v>200</v>
      </c>
      <c r="D508" s="525">
        <v>14.11</v>
      </c>
      <c r="E508" s="526">
        <v>0</v>
      </c>
      <c r="F508" s="526">
        <f t="shared" si="81"/>
        <v>2822</v>
      </c>
      <c r="G508" s="523">
        <v>42648</v>
      </c>
      <c r="H508" s="542">
        <v>500</v>
      </c>
      <c r="I508" s="525">
        <v>16.38</v>
      </c>
      <c r="J508" s="526">
        <v>0.18</v>
      </c>
      <c r="K508" s="526">
        <f t="shared" si="82"/>
        <v>8189.8199999999988</v>
      </c>
      <c r="L508" s="524"/>
      <c r="M508" s="526"/>
    </row>
    <row r="509" spans="1:13" x14ac:dyDescent="0.25">
      <c r="A509" s="524"/>
      <c r="B509" s="575">
        <v>42633</v>
      </c>
      <c r="C509" s="524">
        <v>122</v>
      </c>
      <c r="D509" s="525">
        <v>14.1</v>
      </c>
      <c r="E509" s="526">
        <v>0</v>
      </c>
      <c r="F509" s="526">
        <f t="shared" si="81"/>
        <v>1720.2</v>
      </c>
      <c r="G509" s="523">
        <v>42649</v>
      </c>
      <c r="H509" s="542">
        <v>500</v>
      </c>
      <c r="I509" s="525">
        <v>16.16</v>
      </c>
      <c r="J509" s="526">
        <v>0.18</v>
      </c>
      <c r="K509" s="526">
        <f t="shared" si="82"/>
        <v>8079.82</v>
      </c>
      <c r="L509" s="524"/>
      <c r="M509" s="526"/>
    </row>
    <row r="510" spans="1:13" x14ac:dyDescent="0.25">
      <c r="A510" s="524"/>
      <c r="B510" s="575">
        <v>42636</v>
      </c>
      <c r="C510" s="524">
        <v>200</v>
      </c>
      <c r="D510" s="525">
        <v>14.38</v>
      </c>
      <c r="E510" s="526">
        <v>0</v>
      </c>
      <c r="F510" s="526">
        <f t="shared" si="81"/>
        <v>2876</v>
      </c>
      <c r="G510" s="523">
        <v>42671</v>
      </c>
      <c r="H510" s="542">
        <v>1000</v>
      </c>
      <c r="I510" s="525">
        <v>14.22</v>
      </c>
      <c r="J510" s="526">
        <v>0.31</v>
      </c>
      <c r="K510" s="526">
        <f t="shared" si="82"/>
        <v>14219.69</v>
      </c>
      <c r="L510" s="524"/>
      <c r="M510" s="526"/>
    </row>
    <row r="511" spans="1:13" x14ac:dyDescent="0.25">
      <c r="A511" s="524"/>
      <c r="B511" s="575">
        <v>42639</v>
      </c>
      <c r="C511" s="524">
        <v>200</v>
      </c>
      <c r="D511" s="525">
        <v>14.5</v>
      </c>
      <c r="E511" s="526">
        <v>0</v>
      </c>
      <c r="F511" s="526">
        <f t="shared" ref="F511:F525" si="83">C511*D511+E511</f>
        <v>2900</v>
      </c>
      <c r="G511" s="523">
        <v>42674</v>
      </c>
      <c r="H511" s="542">
        <v>300</v>
      </c>
      <c r="I511" s="525">
        <v>13.42</v>
      </c>
      <c r="J511" s="526">
        <v>0.09</v>
      </c>
      <c r="K511" s="526">
        <f t="shared" si="82"/>
        <v>4025.91</v>
      </c>
      <c r="L511" s="524"/>
      <c r="M511" s="526"/>
    </row>
    <row r="512" spans="1:13" x14ac:dyDescent="0.25">
      <c r="A512" s="524"/>
      <c r="B512" s="575">
        <v>42639</v>
      </c>
      <c r="C512" s="524">
        <v>200</v>
      </c>
      <c r="D512" s="525">
        <v>14.38</v>
      </c>
      <c r="E512" s="526">
        <v>0</v>
      </c>
      <c r="F512" s="526">
        <f t="shared" si="83"/>
        <v>2876</v>
      </c>
      <c r="G512" s="523">
        <v>42674</v>
      </c>
      <c r="H512" s="542">
        <v>200</v>
      </c>
      <c r="I512" s="525">
        <v>13.25</v>
      </c>
      <c r="J512" s="526">
        <v>-0.74</v>
      </c>
      <c r="K512" s="526">
        <f t="shared" si="82"/>
        <v>2650.74</v>
      </c>
      <c r="L512" s="524"/>
      <c r="M512" s="526"/>
    </row>
    <row r="513" spans="1:13" x14ac:dyDescent="0.25">
      <c r="A513" s="524"/>
      <c r="B513" s="575">
        <v>42640</v>
      </c>
      <c r="C513" s="524">
        <v>322</v>
      </c>
      <c r="D513" s="525">
        <v>13.97</v>
      </c>
      <c r="E513" s="526">
        <v>0</v>
      </c>
      <c r="F513" s="526">
        <f t="shared" si="83"/>
        <v>4498.34</v>
      </c>
      <c r="G513" s="523">
        <v>42676</v>
      </c>
      <c r="H513" s="542">
        <v>200</v>
      </c>
      <c r="I513" s="525">
        <v>13.05</v>
      </c>
      <c r="J513" s="526">
        <v>0.06</v>
      </c>
      <c r="K513" s="526">
        <f t="shared" si="82"/>
        <v>2609.94</v>
      </c>
      <c r="L513" s="524"/>
      <c r="M513" s="526"/>
    </row>
    <row r="514" spans="1:13" x14ac:dyDescent="0.25">
      <c r="A514" s="524"/>
      <c r="B514" s="575">
        <v>42641</v>
      </c>
      <c r="C514" s="524">
        <v>300</v>
      </c>
      <c r="D514" s="525">
        <v>14.02</v>
      </c>
      <c r="E514" s="526">
        <v>-1.26</v>
      </c>
      <c r="F514" s="526">
        <f t="shared" si="83"/>
        <v>4204.74</v>
      </c>
      <c r="G514" s="523">
        <v>42677</v>
      </c>
      <c r="H514" s="542">
        <v>500</v>
      </c>
      <c r="I514" s="525">
        <v>13.96</v>
      </c>
      <c r="J514" s="526">
        <v>0.15</v>
      </c>
      <c r="K514" s="526">
        <f t="shared" si="82"/>
        <v>6979.85</v>
      </c>
      <c r="L514" s="524"/>
      <c r="M514" s="526"/>
    </row>
    <row r="515" spans="1:13" x14ac:dyDescent="0.25">
      <c r="A515" s="524"/>
      <c r="B515" s="575">
        <v>42641</v>
      </c>
      <c r="C515" s="524">
        <v>200</v>
      </c>
      <c r="D515" s="525">
        <v>14.17</v>
      </c>
      <c r="E515" s="526">
        <v>0</v>
      </c>
      <c r="F515" s="526">
        <f t="shared" si="83"/>
        <v>2834</v>
      </c>
      <c r="G515" s="523">
        <v>42677</v>
      </c>
      <c r="H515" s="542">
        <v>2000</v>
      </c>
      <c r="I515" s="525">
        <v>14.5</v>
      </c>
      <c r="J515" s="526">
        <v>0.63</v>
      </c>
      <c r="K515" s="526">
        <f t="shared" si="82"/>
        <v>28999.37</v>
      </c>
      <c r="L515" s="524"/>
      <c r="M515" s="526"/>
    </row>
    <row r="516" spans="1:13" x14ac:dyDescent="0.25">
      <c r="A516" s="524"/>
      <c r="B516" s="575">
        <v>42642</v>
      </c>
      <c r="C516" s="524">
        <v>414</v>
      </c>
      <c r="D516" s="525">
        <v>15.66</v>
      </c>
      <c r="E516" s="526">
        <v>0</v>
      </c>
      <c r="F516" s="526">
        <f t="shared" si="83"/>
        <v>6483.24</v>
      </c>
      <c r="G516" s="523">
        <v>42682</v>
      </c>
      <c r="H516" s="542">
        <v>1000</v>
      </c>
      <c r="I516" s="525">
        <v>14.28</v>
      </c>
      <c r="J516" s="526">
        <v>0.31</v>
      </c>
      <c r="K516" s="526">
        <f t="shared" si="82"/>
        <v>14279.69</v>
      </c>
      <c r="L516" s="524"/>
      <c r="M516" s="526"/>
    </row>
    <row r="517" spans="1:13" ht="30" x14ac:dyDescent="0.25">
      <c r="A517" s="645" t="s">
        <v>306</v>
      </c>
      <c r="B517" s="575">
        <v>42647</v>
      </c>
      <c r="C517" s="524">
        <v>500</v>
      </c>
      <c r="D517" s="525">
        <v>15.86</v>
      </c>
      <c r="E517" s="526">
        <v>0</v>
      </c>
      <c r="F517" s="526">
        <f t="shared" si="83"/>
        <v>7930</v>
      </c>
      <c r="G517" s="523">
        <v>42685</v>
      </c>
      <c r="H517" s="542">
        <v>500</v>
      </c>
      <c r="I517" s="525">
        <v>15.88</v>
      </c>
      <c r="J517" s="526">
        <v>0.17</v>
      </c>
      <c r="K517" s="526">
        <f t="shared" si="82"/>
        <v>7939.83</v>
      </c>
      <c r="L517" s="524"/>
      <c r="M517" s="526"/>
    </row>
    <row r="518" spans="1:13" x14ac:dyDescent="0.25">
      <c r="A518" s="645"/>
      <c r="B518" s="575">
        <v>42647</v>
      </c>
      <c r="C518" s="524">
        <v>500</v>
      </c>
      <c r="D518" s="525">
        <v>15.62</v>
      </c>
      <c r="E518" s="526">
        <v>0</v>
      </c>
      <c r="F518" s="526">
        <f t="shared" si="83"/>
        <v>7810</v>
      </c>
      <c r="G518" s="523">
        <v>42695</v>
      </c>
      <c r="H518" s="542">
        <v>2272</v>
      </c>
      <c r="I518" s="525">
        <v>16.28</v>
      </c>
      <c r="J518" s="526">
        <v>0.81</v>
      </c>
      <c r="K518" s="526">
        <f t="shared" si="82"/>
        <v>36987.350000000006</v>
      </c>
      <c r="L518" s="524"/>
      <c r="M518" s="526"/>
    </row>
    <row r="519" spans="1:13" x14ac:dyDescent="0.25">
      <c r="A519" s="645"/>
      <c r="B519" s="575">
        <v>42649</v>
      </c>
      <c r="C519" s="524">
        <v>500</v>
      </c>
      <c r="D519" s="525">
        <v>15.97</v>
      </c>
      <c r="E519" s="526">
        <v>0</v>
      </c>
      <c r="F519" s="526">
        <f t="shared" si="83"/>
        <v>7985</v>
      </c>
      <c r="G519" s="523">
        <v>42695</v>
      </c>
      <c r="H519" s="542">
        <v>500</v>
      </c>
      <c r="I519" s="525">
        <v>16.45</v>
      </c>
      <c r="J519" s="526">
        <v>0.18</v>
      </c>
      <c r="K519" s="526">
        <f t="shared" si="82"/>
        <v>8224.82</v>
      </c>
      <c r="L519" s="524"/>
      <c r="M519" s="526"/>
    </row>
    <row r="520" spans="1:13" x14ac:dyDescent="0.25">
      <c r="A520" s="645"/>
      <c r="B520" s="575">
        <v>42649</v>
      </c>
      <c r="C520" s="524">
        <v>500</v>
      </c>
      <c r="D520" s="525">
        <v>15.84</v>
      </c>
      <c r="E520" s="526">
        <v>0</v>
      </c>
      <c r="F520" s="526">
        <f t="shared" si="83"/>
        <v>7920</v>
      </c>
      <c r="G520" s="523">
        <v>42696</v>
      </c>
      <c r="H520" s="542">
        <v>500</v>
      </c>
      <c r="I520" s="525">
        <v>16.54</v>
      </c>
      <c r="J520" s="526">
        <v>0.18</v>
      </c>
      <c r="K520" s="526">
        <f t="shared" si="82"/>
        <v>8269.82</v>
      </c>
      <c r="L520" s="524"/>
      <c r="M520" s="526"/>
    </row>
    <row r="521" spans="1:13" x14ac:dyDescent="0.25">
      <c r="A521" s="524"/>
      <c r="B521" s="575">
        <v>42649</v>
      </c>
      <c r="C521" s="524">
        <v>500</v>
      </c>
      <c r="D521" s="525">
        <v>16.079999999999998</v>
      </c>
      <c r="E521" s="526">
        <v>0</v>
      </c>
      <c r="F521" s="526">
        <f t="shared" si="83"/>
        <v>8039.9999999999991</v>
      </c>
      <c r="G521" s="523">
        <v>42697</v>
      </c>
      <c r="H521" s="542">
        <v>200</v>
      </c>
      <c r="I521" s="525">
        <v>16.79</v>
      </c>
      <c r="J521" s="526">
        <v>7.0000000000000007E-2</v>
      </c>
      <c r="K521" s="526">
        <f t="shared" si="82"/>
        <v>3357.93</v>
      </c>
      <c r="L521" s="524"/>
      <c r="M521" s="526"/>
    </row>
    <row r="522" spans="1:13" x14ac:dyDescent="0.25">
      <c r="A522" s="524"/>
      <c r="B522" s="575">
        <v>42650</v>
      </c>
      <c r="C522" s="524">
        <v>300</v>
      </c>
      <c r="D522" s="525">
        <v>15.75</v>
      </c>
      <c r="E522" s="526">
        <v>0</v>
      </c>
      <c r="F522" s="526">
        <f t="shared" si="83"/>
        <v>4725</v>
      </c>
      <c r="G522" s="523">
        <v>42697</v>
      </c>
      <c r="H522" s="542">
        <v>500</v>
      </c>
      <c r="I522" s="525">
        <v>16.59</v>
      </c>
      <c r="J522" s="526">
        <v>0.18</v>
      </c>
      <c r="K522" s="526">
        <f t="shared" si="82"/>
        <v>8294.82</v>
      </c>
      <c r="L522" s="524"/>
      <c r="M522" s="526"/>
    </row>
    <row r="523" spans="1:13" x14ac:dyDescent="0.25">
      <c r="A523" s="524"/>
      <c r="B523" s="575">
        <v>42650</v>
      </c>
      <c r="C523" s="524">
        <v>300</v>
      </c>
      <c r="D523" s="525">
        <v>15.58</v>
      </c>
      <c r="E523" s="526">
        <v>0</v>
      </c>
      <c r="F523" s="526">
        <f t="shared" si="83"/>
        <v>4674</v>
      </c>
      <c r="G523" s="523">
        <v>42704</v>
      </c>
      <c r="H523" s="542">
        <v>1000</v>
      </c>
      <c r="I523" s="525">
        <v>16.420000000000002</v>
      </c>
      <c r="J523" s="526">
        <v>0.36</v>
      </c>
      <c r="K523" s="526">
        <f t="shared" si="82"/>
        <v>16419.64</v>
      </c>
      <c r="L523" s="524"/>
      <c r="M523" s="526"/>
    </row>
    <row r="524" spans="1:13" x14ac:dyDescent="0.25">
      <c r="A524" s="524"/>
      <c r="B524" s="575">
        <v>42653</v>
      </c>
      <c r="C524" s="524">
        <v>394</v>
      </c>
      <c r="D524" s="525">
        <v>15.72</v>
      </c>
      <c r="E524" s="526">
        <v>0</v>
      </c>
      <c r="F524" s="526">
        <f t="shared" si="83"/>
        <v>6193.68</v>
      </c>
      <c r="G524" s="523">
        <v>42704</v>
      </c>
      <c r="H524" s="542">
        <v>300</v>
      </c>
      <c r="I524" s="525">
        <v>16.78</v>
      </c>
      <c r="J524" s="526">
        <v>1.61</v>
      </c>
      <c r="K524" s="526">
        <f t="shared" si="82"/>
        <v>5032.3900000000003</v>
      </c>
      <c r="L524" s="524"/>
      <c r="M524" s="526"/>
    </row>
    <row r="525" spans="1:13" x14ac:dyDescent="0.25">
      <c r="A525" s="524"/>
      <c r="B525" s="575">
        <v>42653</v>
      </c>
      <c r="C525" s="524">
        <v>6</v>
      </c>
      <c r="D525" s="525">
        <v>15.72</v>
      </c>
      <c r="E525" s="526">
        <v>0</v>
      </c>
      <c r="F525" s="526">
        <f t="shared" si="83"/>
        <v>94.320000000000007</v>
      </c>
      <c r="G525" s="523">
        <v>42704</v>
      </c>
      <c r="H525" s="542">
        <v>1000</v>
      </c>
      <c r="I525" s="525">
        <v>17.079999999999998</v>
      </c>
      <c r="J525" s="526">
        <v>0.37</v>
      </c>
      <c r="K525" s="526">
        <f t="shared" si="82"/>
        <v>17079.63</v>
      </c>
      <c r="L525" s="524"/>
      <c r="M525" s="526"/>
    </row>
    <row r="526" spans="1:13" x14ac:dyDescent="0.25">
      <c r="A526" s="524"/>
      <c r="B526" s="575">
        <v>42655</v>
      </c>
      <c r="C526" s="524">
        <v>22</v>
      </c>
      <c r="D526" s="525">
        <v>15.48</v>
      </c>
      <c r="E526" s="526">
        <v>0</v>
      </c>
      <c r="F526" s="526">
        <f>C526*D526+E526</f>
        <v>340.56</v>
      </c>
      <c r="G526" s="523">
        <v>42704</v>
      </c>
      <c r="H526" s="542">
        <v>1000</v>
      </c>
      <c r="I526" s="525">
        <v>17.32</v>
      </c>
      <c r="J526" s="526">
        <v>0.38</v>
      </c>
      <c r="K526" s="526">
        <f t="shared" si="82"/>
        <v>17319.62</v>
      </c>
      <c r="L526" s="524"/>
      <c r="M526" s="526"/>
    </row>
    <row r="527" spans="1:13" x14ac:dyDescent="0.25">
      <c r="A527" s="524"/>
      <c r="B527" s="575">
        <v>42655</v>
      </c>
      <c r="C527" s="524">
        <v>300</v>
      </c>
      <c r="D527" s="525">
        <v>15.48</v>
      </c>
      <c r="E527" s="526">
        <v>0</v>
      </c>
      <c r="F527" s="526">
        <f>C527*D527+E527</f>
        <v>4644</v>
      </c>
      <c r="G527" s="523">
        <v>42704</v>
      </c>
      <c r="H527" s="542">
        <v>500</v>
      </c>
      <c r="I527" s="525">
        <v>17.64</v>
      </c>
      <c r="J527" s="526">
        <v>0.19</v>
      </c>
      <c r="K527" s="526">
        <f t="shared" si="82"/>
        <v>8819.81</v>
      </c>
      <c r="L527" s="524"/>
      <c r="M527" s="526"/>
    </row>
    <row r="528" spans="1:13" x14ac:dyDescent="0.25">
      <c r="A528" s="646"/>
      <c r="B528" s="575">
        <v>42668</v>
      </c>
      <c r="C528" s="524">
        <v>500</v>
      </c>
      <c r="D528" s="525">
        <v>14.26</v>
      </c>
      <c r="E528" s="526">
        <v>-2.5</v>
      </c>
      <c r="F528" s="526">
        <f t="shared" ref="F528:F537" si="84">C528*D528+E528</f>
        <v>7127.5</v>
      </c>
      <c r="G528" s="523">
        <v>42705</v>
      </c>
      <c r="H528" s="542">
        <v>528</v>
      </c>
      <c r="I528" s="525">
        <v>18.7</v>
      </c>
      <c r="J528" s="526">
        <v>0.22</v>
      </c>
      <c r="K528" s="526">
        <f t="shared" si="82"/>
        <v>9873.380000000001</v>
      </c>
      <c r="L528" s="524"/>
      <c r="M528" s="526"/>
    </row>
    <row r="529" spans="1:13" x14ac:dyDescent="0.25">
      <c r="A529" s="646"/>
      <c r="B529" s="575">
        <v>42668</v>
      </c>
      <c r="C529" s="524">
        <v>500</v>
      </c>
      <c r="D529" s="525">
        <v>14.16</v>
      </c>
      <c r="E529" s="526">
        <v>0</v>
      </c>
      <c r="F529" s="526">
        <f t="shared" si="84"/>
        <v>7080</v>
      </c>
      <c r="G529" s="523">
        <v>42711</v>
      </c>
      <c r="H529" s="542">
        <v>500</v>
      </c>
      <c r="I529" s="525">
        <v>18.329999999999998</v>
      </c>
      <c r="J529" s="526">
        <v>0.2</v>
      </c>
      <c r="K529" s="526">
        <f t="shared" si="82"/>
        <v>9164.7999999999993</v>
      </c>
      <c r="L529" s="524"/>
      <c r="M529" s="526"/>
    </row>
    <row r="530" spans="1:13" x14ac:dyDescent="0.25">
      <c r="A530" s="646"/>
      <c r="B530" s="575">
        <v>42670</v>
      </c>
      <c r="C530" s="524">
        <v>500</v>
      </c>
      <c r="D530" s="525">
        <v>14.18</v>
      </c>
      <c r="E530" s="526">
        <v>0</v>
      </c>
      <c r="F530" s="526">
        <f t="shared" si="84"/>
        <v>7090</v>
      </c>
      <c r="G530" s="523">
        <v>42713</v>
      </c>
      <c r="H530" s="542">
        <v>500</v>
      </c>
      <c r="I530" s="525">
        <v>18.28</v>
      </c>
      <c r="J530" s="526">
        <v>0.2</v>
      </c>
      <c r="K530" s="526">
        <f t="shared" si="82"/>
        <v>9139.7999999999993</v>
      </c>
      <c r="L530" s="524"/>
      <c r="M530" s="526"/>
    </row>
    <row r="531" spans="1:13" x14ac:dyDescent="0.25">
      <c r="A531" s="646"/>
      <c r="B531" s="575">
        <v>42670</v>
      </c>
      <c r="C531" s="524">
        <v>500</v>
      </c>
      <c r="D531" s="525">
        <v>14.05</v>
      </c>
      <c r="E531" s="526">
        <v>0</v>
      </c>
      <c r="F531" s="526">
        <f t="shared" si="84"/>
        <v>7025</v>
      </c>
      <c r="G531" s="523">
        <v>42718</v>
      </c>
      <c r="H531" s="542">
        <v>200</v>
      </c>
      <c r="I531" s="525">
        <v>18.78</v>
      </c>
      <c r="J531" s="526">
        <v>0.08</v>
      </c>
      <c r="K531" s="526">
        <f t="shared" si="82"/>
        <v>3755.92</v>
      </c>
      <c r="L531" s="524"/>
      <c r="M531" s="526"/>
    </row>
    <row r="532" spans="1:13" x14ac:dyDescent="0.25">
      <c r="A532" s="646"/>
      <c r="B532" s="575">
        <v>42670</v>
      </c>
      <c r="C532" s="524">
        <v>500</v>
      </c>
      <c r="D532" s="525">
        <v>13.88</v>
      </c>
      <c r="E532" s="526">
        <v>0</v>
      </c>
      <c r="F532" s="526">
        <f t="shared" si="84"/>
        <v>6940</v>
      </c>
      <c r="G532" s="523">
        <v>42734</v>
      </c>
      <c r="H532" s="542">
        <v>1000</v>
      </c>
      <c r="I532" s="525">
        <v>17.72</v>
      </c>
      <c r="J532" s="526">
        <v>0.39</v>
      </c>
      <c r="K532" s="526">
        <f t="shared" si="82"/>
        <v>17719.61</v>
      </c>
      <c r="L532" s="524"/>
      <c r="M532" s="526"/>
    </row>
    <row r="533" spans="1:13" x14ac:dyDescent="0.25">
      <c r="A533" s="524"/>
      <c r="B533" s="575">
        <v>42671</v>
      </c>
      <c r="C533" s="524">
        <v>1000</v>
      </c>
      <c r="D533" s="525">
        <v>14.15</v>
      </c>
      <c r="E533" s="526">
        <v>0</v>
      </c>
      <c r="F533" s="526">
        <f t="shared" si="84"/>
        <v>14150</v>
      </c>
      <c r="G533" s="523">
        <v>42739</v>
      </c>
      <c r="H533" s="542">
        <v>500</v>
      </c>
      <c r="I533" s="525">
        <v>18.079999999999998</v>
      </c>
      <c r="J533" s="526">
        <v>0.2</v>
      </c>
      <c r="K533" s="526">
        <f t="shared" si="82"/>
        <v>9039.7999999999993</v>
      </c>
      <c r="L533" s="524"/>
      <c r="M533" s="526"/>
    </row>
    <row r="534" spans="1:13" x14ac:dyDescent="0.25">
      <c r="A534" s="524"/>
      <c r="B534" s="575">
        <v>42674</v>
      </c>
      <c r="C534" s="524">
        <v>300</v>
      </c>
      <c r="D534" s="525">
        <v>13.28</v>
      </c>
      <c r="E534" s="526">
        <v>-1.5</v>
      </c>
      <c r="F534" s="526">
        <f t="shared" si="84"/>
        <v>3982.5</v>
      </c>
      <c r="G534" s="523">
        <v>42748</v>
      </c>
      <c r="H534" s="542">
        <v>500</v>
      </c>
      <c r="I534" s="525">
        <v>17.48</v>
      </c>
      <c r="J534" s="526">
        <v>0.19</v>
      </c>
      <c r="K534" s="526">
        <f t="shared" si="82"/>
        <v>8739.81</v>
      </c>
      <c r="L534" s="524"/>
      <c r="M534" s="526"/>
    </row>
    <row r="535" spans="1:13" x14ac:dyDescent="0.25">
      <c r="A535" s="524"/>
      <c r="B535" s="575">
        <v>42674</v>
      </c>
      <c r="C535" s="524">
        <v>200</v>
      </c>
      <c r="D535" s="525">
        <v>13.15</v>
      </c>
      <c r="E535" s="526">
        <v>0.02</v>
      </c>
      <c r="F535" s="526">
        <f t="shared" si="84"/>
        <v>2630.02</v>
      </c>
      <c r="G535" s="523">
        <v>42761</v>
      </c>
      <c r="H535" s="542">
        <v>1000</v>
      </c>
      <c r="I535" s="525">
        <v>17.899999999999999</v>
      </c>
      <c r="J535" s="526">
        <v>0.39</v>
      </c>
      <c r="K535" s="526">
        <f t="shared" si="82"/>
        <v>17899.61</v>
      </c>
      <c r="L535" s="524"/>
      <c r="M535" s="526"/>
    </row>
    <row r="536" spans="1:13" x14ac:dyDescent="0.25">
      <c r="A536" s="524"/>
      <c r="B536" s="575">
        <v>42676</v>
      </c>
      <c r="C536" s="524">
        <v>200</v>
      </c>
      <c r="D536" s="525">
        <v>12.89</v>
      </c>
      <c r="E536" s="526">
        <v>0</v>
      </c>
      <c r="F536" s="526">
        <f t="shared" si="84"/>
        <v>2578</v>
      </c>
      <c r="G536" s="523">
        <v>42766</v>
      </c>
      <c r="H536" s="542">
        <v>300</v>
      </c>
      <c r="I536" s="525">
        <v>16.649999999999999</v>
      </c>
      <c r="J536" s="526">
        <v>0.11</v>
      </c>
      <c r="K536" s="526">
        <f t="shared" si="82"/>
        <v>4994.8900000000003</v>
      </c>
      <c r="L536" s="524"/>
      <c r="M536" s="526"/>
    </row>
    <row r="537" spans="1:13" x14ac:dyDescent="0.25">
      <c r="A537" s="524"/>
      <c r="B537" s="575">
        <v>42678</v>
      </c>
      <c r="C537" s="524">
        <v>500</v>
      </c>
      <c r="D537" s="525">
        <v>13.69</v>
      </c>
      <c r="E537" s="526">
        <v>0</v>
      </c>
      <c r="F537" s="526">
        <f t="shared" si="84"/>
        <v>6845</v>
      </c>
      <c r="G537" s="523">
        <v>42767</v>
      </c>
      <c r="H537" s="542">
        <v>612</v>
      </c>
      <c r="I537" s="525">
        <v>17.03</v>
      </c>
      <c r="J537" s="526">
        <v>0.23</v>
      </c>
      <c r="K537" s="526">
        <f t="shared" si="82"/>
        <v>10422.130000000001</v>
      </c>
      <c r="L537" s="524"/>
      <c r="M537" s="526"/>
    </row>
    <row r="538" spans="1:13" x14ac:dyDescent="0.25">
      <c r="A538" s="524"/>
      <c r="B538" s="575">
        <v>42678</v>
      </c>
      <c r="C538" s="524">
        <v>500</v>
      </c>
      <c r="D538" s="525">
        <v>13.69</v>
      </c>
      <c r="E538" s="526">
        <v>0</v>
      </c>
      <c r="F538" s="526">
        <f>C538*D538+E538</f>
        <v>6845</v>
      </c>
      <c r="G538" s="523">
        <v>42767</v>
      </c>
      <c r="H538" s="542">
        <v>288</v>
      </c>
      <c r="I538" s="525">
        <v>17.12</v>
      </c>
      <c r="J538" s="526">
        <v>0.11</v>
      </c>
      <c r="K538" s="526">
        <f t="shared" si="82"/>
        <v>4930.4500000000007</v>
      </c>
      <c r="L538" s="524"/>
      <c r="M538" s="526"/>
    </row>
    <row r="539" spans="1:13" x14ac:dyDescent="0.25">
      <c r="A539" s="524"/>
      <c r="B539" s="575">
        <v>42691</v>
      </c>
      <c r="C539" s="524">
        <v>150</v>
      </c>
      <c r="D539" s="525">
        <v>15.48</v>
      </c>
      <c r="E539" s="526">
        <v>0</v>
      </c>
      <c r="F539" s="526">
        <f t="shared" ref="F539:F555" si="85">C539*D539+E539</f>
        <v>2322</v>
      </c>
      <c r="G539" s="523">
        <v>42767</v>
      </c>
      <c r="H539" s="542">
        <v>700</v>
      </c>
      <c r="I539" s="525">
        <v>16.57</v>
      </c>
      <c r="J539" s="526">
        <v>0.25</v>
      </c>
      <c r="K539" s="526">
        <f t="shared" si="82"/>
        <v>11598.75</v>
      </c>
      <c r="L539" s="524"/>
      <c r="M539" s="526"/>
    </row>
    <row r="540" spans="1:13" x14ac:dyDescent="0.25">
      <c r="A540" s="524"/>
      <c r="B540" s="575">
        <v>42691</v>
      </c>
      <c r="C540" s="524">
        <v>300</v>
      </c>
      <c r="D540" s="525">
        <v>15.48</v>
      </c>
      <c r="E540" s="526">
        <v>0</v>
      </c>
      <c r="F540" s="526">
        <f t="shared" si="85"/>
        <v>4644</v>
      </c>
      <c r="G540" s="523">
        <v>42768</v>
      </c>
      <c r="H540" s="542">
        <v>200</v>
      </c>
      <c r="I540" s="525">
        <v>16.7</v>
      </c>
      <c r="J540" s="526">
        <v>7.0000000000000007E-2</v>
      </c>
      <c r="K540" s="526">
        <f t="shared" si="82"/>
        <v>3339.93</v>
      </c>
      <c r="L540" s="524"/>
      <c r="M540" s="526"/>
    </row>
    <row r="541" spans="1:13" x14ac:dyDescent="0.25">
      <c r="A541" s="524"/>
      <c r="B541" s="575">
        <v>42696</v>
      </c>
      <c r="C541" s="524">
        <v>1000</v>
      </c>
      <c r="D541" s="525">
        <v>16.12</v>
      </c>
      <c r="E541" s="526">
        <v>0</v>
      </c>
      <c r="F541" s="526">
        <f t="shared" si="85"/>
        <v>16120.000000000002</v>
      </c>
      <c r="G541" s="523">
        <v>42768</v>
      </c>
      <c r="H541" s="542">
        <v>500</v>
      </c>
      <c r="I541" s="525">
        <v>16.600000000000001</v>
      </c>
      <c r="J541" s="526">
        <v>-1.82</v>
      </c>
      <c r="K541" s="526">
        <f t="shared" si="82"/>
        <v>8301.82</v>
      </c>
      <c r="L541" s="524"/>
      <c r="M541" s="526"/>
    </row>
    <row r="542" spans="1:13" x14ac:dyDescent="0.25">
      <c r="A542" s="524"/>
      <c r="B542" s="575">
        <v>42699</v>
      </c>
      <c r="C542" s="524">
        <v>200</v>
      </c>
      <c r="D542" s="525">
        <v>16.28</v>
      </c>
      <c r="E542" s="526">
        <v>0</v>
      </c>
      <c r="F542" s="526">
        <f t="shared" si="85"/>
        <v>3256</v>
      </c>
      <c r="G542" s="523">
        <v>42768</v>
      </c>
      <c r="H542" s="542">
        <v>500</v>
      </c>
      <c r="I542" s="525">
        <v>16.75</v>
      </c>
      <c r="J542" s="526">
        <v>0.18</v>
      </c>
      <c r="K542" s="526">
        <f t="shared" si="82"/>
        <v>8374.82</v>
      </c>
      <c r="L542" s="524"/>
      <c r="M542" s="526"/>
    </row>
    <row r="543" spans="1:13" x14ac:dyDescent="0.25">
      <c r="A543" s="646"/>
      <c r="B543" s="575">
        <v>42699</v>
      </c>
      <c r="C543" s="524">
        <v>500</v>
      </c>
      <c r="D543" s="525">
        <v>16.16</v>
      </c>
      <c r="E543" s="526">
        <v>0</v>
      </c>
      <c r="F543" s="526">
        <f t="shared" si="85"/>
        <v>8080</v>
      </c>
      <c r="G543" s="523">
        <v>42769</v>
      </c>
      <c r="H543" s="647">
        <v>400</v>
      </c>
      <c r="I543" s="648">
        <v>16.95</v>
      </c>
      <c r="J543" s="649">
        <v>0.15</v>
      </c>
      <c r="K543" s="649">
        <f t="shared" si="82"/>
        <v>6779.85</v>
      </c>
      <c r="L543" s="524"/>
      <c r="M543" s="526"/>
    </row>
    <row r="544" spans="1:13" x14ac:dyDescent="0.25">
      <c r="A544" s="646"/>
      <c r="B544" s="575">
        <v>42702</v>
      </c>
      <c r="C544" s="524">
        <v>500</v>
      </c>
      <c r="D544" s="525">
        <v>16.059999999999999</v>
      </c>
      <c r="E544" s="526">
        <v>0</v>
      </c>
      <c r="F544" s="526">
        <f t="shared" si="85"/>
        <v>8029.9999999999991</v>
      </c>
      <c r="G544" s="523">
        <v>42769</v>
      </c>
      <c r="H544" s="647">
        <v>300</v>
      </c>
      <c r="I544" s="648">
        <v>17.32</v>
      </c>
      <c r="J544" s="649">
        <v>0.11</v>
      </c>
      <c r="K544" s="649">
        <f t="shared" si="82"/>
        <v>5195.8900000000003</v>
      </c>
      <c r="L544" s="524"/>
      <c r="M544" s="526"/>
    </row>
    <row r="545" spans="1:13" x14ac:dyDescent="0.25">
      <c r="A545" s="646"/>
      <c r="B545" s="575">
        <v>42702</v>
      </c>
      <c r="C545" s="524">
        <v>200</v>
      </c>
      <c r="D545" s="525">
        <v>15.8</v>
      </c>
      <c r="E545" s="526">
        <v>0</v>
      </c>
      <c r="F545" s="526">
        <f t="shared" si="85"/>
        <v>3160</v>
      </c>
      <c r="G545" s="523">
        <v>42781</v>
      </c>
      <c r="H545" s="542">
        <v>600</v>
      </c>
      <c r="I545" s="525">
        <v>16.52</v>
      </c>
      <c r="J545" s="526">
        <v>0.22</v>
      </c>
      <c r="K545" s="526">
        <f t="shared" si="82"/>
        <v>9911.7800000000007</v>
      </c>
      <c r="L545" s="524"/>
      <c r="M545" s="526"/>
    </row>
    <row r="546" spans="1:13" x14ac:dyDescent="0.25">
      <c r="A546" s="646"/>
      <c r="B546" s="575">
        <v>42702</v>
      </c>
      <c r="C546" s="524">
        <v>300</v>
      </c>
      <c r="D546" s="525">
        <v>15.65</v>
      </c>
      <c r="E546" s="526">
        <v>0</v>
      </c>
      <c r="F546" s="526">
        <f t="shared" si="85"/>
        <v>4695</v>
      </c>
      <c r="G546" s="523">
        <v>42781</v>
      </c>
      <c r="H546" s="542">
        <v>300</v>
      </c>
      <c r="I546" s="525">
        <v>16.440000000000001</v>
      </c>
      <c r="J546" s="526">
        <v>0.11</v>
      </c>
      <c r="K546" s="526">
        <f t="shared" si="82"/>
        <v>4931.8900000000003</v>
      </c>
      <c r="L546" s="524"/>
      <c r="M546" s="526"/>
    </row>
    <row r="547" spans="1:13" x14ac:dyDescent="0.25">
      <c r="A547" s="524"/>
      <c r="B547" s="575">
        <v>42703</v>
      </c>
      <c r="C547" s="524">
        <v>300</v>
      </c>
      <c r="D547" s="525">
        <v>14.78</v>
      </c>
      <c r="E547" s="526">
        <v>0</v>
      </c>
      <c r="F547" s="526">
        <f t="shared" si="85"/>
        <v>4434</v>
      </c>
      <c r="G547" s="523">
        <v>42782</v>
      </c>
      <c r="H547" s="542">
        <v>300</v>
      </c>
      <c r="I547" s="525">
        <v>17</v>
      </c>
      <c r="J547" s="526">
        <v>0.11</v>
      </c>
      <c r="K547" s="526">
        <f t="shared" si="82"/>
        <v>5099.8900000000003</v>
      </c>
      <c r="L547" s="524"/>
      <c r="M547" s="526"/>
    </row>
    <row r="548" spans="1:13" x14ac:dyDescent="0.25">
      <c r="A548" s="524"/>
      <c r="B548" s="575">
        <v>42705</v>
      </c>
      <c r="C548" s="524">
        <v>350</v>
      </c>
      <c r="D548" s="525">
        <v>17.600000000000001</v>
      </c>
      <c r="E548" s="526">
        <v>0</v>
      </c>
      <c r="F548" s="526">
        <f t="shared" si="85"/>
        <v>6160.0000000000009</v>
      </c>
      <c r="G548" s="524"/>
      <c r="H548" s="542"/>
      <c r="I548" s="525"/>
      <c r="J548" s="526"/>
      <c r="K548" s="526"/>
      <c r="L548" s="524"/>
      <c r="M548" s="526"/>
    </row>
    <row r="549" spans="1:13" x14ac:dyDescent="0.25">
      <c r="A549" s="524"/>
      <c r="B549" s="575">
        <v>42711</v>
      </c>
      <c r="C549" s="524">
        <v>500</v>
      </c>
      <c r="D549" s="525">
        <v>18.12</v>
      </c>
      <c r="E549" s="526">
        <v>0</v>
      </c>
      <c r="F549" s="526">
        <f t="shared" si="85"/>
        <v>9060</v>
      </c>
      <c r="G549" s="524"/>
      <c r="H549" s="542"/>
      <c r="I549" s="525"/>
      <c r="J549" s="526"/>
      <c r="K549" s="526"/>
      <c r="L549" s="524"/>
      <c r="M549" s="526"/>
    </row>
    <row r="550" spans="1:13" x14ac:dyDescent="0.25">
      <c r="A550" s="524"/>
      <c r="B550" s="575">
        <v>42713</v>
      </c>
      <c r="C550" s="524">
        <v>500</v>
      </c>
      <c r="D550" s="525">
        <v>18.12</v>
      </c>
      <c r="E550" s="526">
        <v>0</v>
      </c>
      <c r="F550" s="526">
        <f t="shared" si="85"/>
        <v>9060</v>
      </c>
      <c r="G550" s="524"/>
      <c r="H550" s="542"/>
      <c r="I550" s="525"/>
      <c r="J550" s="526"/>
      <c r="K550" s="526"/>
      <c r="L550" s="524"/>
      <c r="M550" s="526"/>
    </row>
    <row r="551" spans="1:13" x14ac:dyDescent="0.25">
      <c r="A551" s="524"/>
      <c r="B551" s="575">
        <v>42718</v>
      </c>
      <c r="C551" s="524">
        <v>200</v>
      </c>
      <c r="D551" s="525">
        <v>18.73</v>
      </c>
      <c r="E551" s="526">
        <v>-1</v>
      </c>
      <c r="F551" s="526">
        <f t="shared" si="85"/>
        <v>3745</v>
      </c>
      <c r="G551" s="524"/>
      <c r="H551" s="542"/>
      <c r="I551" s="525"/>
      <c r="J551" s="526"/>
      <c r="K551" s="526"/>
      <c r="L551" s="524"/>
      <c r="M551" s="526"/>
    </row>
    <row r="552" spans="1:13" x14ac:dyDescent="0.25">
      <c r="A552" s="524"/>
      <c r="B552" s="575">
        <v>42733</v>
      </c>
      <c r="C552" s="524">
        <v>1000</v>
      </c>
      <c r="D552" s="525">
        <v>17.64</v>
      </c>
      <c r="E552" s="526">
        <v>-1.5</v>
      </c>
      <c r="F552" s="526">
        <f t="shared" si="85"/>
        <v>17638.5</v>
      </c>
      <c r="G552" s="524"/>
      <c r="H552" s="542"/>
      <c r="I552" s="525"/>
      <c r="J552" s="526"/>
      <c r="K552" s="526"/>
      <c r="L552" s="524"/>
      <c r="M552" s="526"/>
    </row>
    <row r="553" spans="1:13" x14ac:dyDescent="0.25">
      <c r="A553" s="524"/>
      <c r="B553" s="575">
        <v>42734</v>
      </c>
      <c r="C553" s="524">
        <v>1000</v>
      </c>
      <c r="D553" s="525">
        <v>17.329999999999998</v>
      </c>
      <c r="E553" s="526">
        <v>0</v>
      </c>
      <c r="F553" s="526">
        <f t="shared" si="85"/>
        <v>17330</v>
      </c>
      <c r="G553" s="524"/>
      <c r="H553" s="542"/>
      <c r="I553" s="525"/>
      <c r="J553" s="526"/>
      <c r="K553" s="526"/>
      <c r="L553" s="524"/>
      <c r="M553" s="526"/>
    </row>
    <row r="554" spans="1:13" x14ac:dyDescent="0.25">
      <c r="A554" s="524"/>
      <c r="B554" s="575">
        <v>42741</v>
      </c>
      <c r="C554" s="524">
        <v>500</v>
      </c>
      <c r="D554" s="525">
        <v>17.88</v>
      </c>
      <c r="E554" s="526">
        <v>0</v>
      </c>
      <c r="F554" s="526">
        <f t="shared" si="85"/>
        <v>8940</v>
      </c>
      <c r="G554" s="524"/>
      <c r="H554" s="542"/>
      <c r="I554" s="525"/>
      <c r="J554" s="526"/>
      <c r="K554" s="526"/>
      <c r="L554" s="524"/>
      <c r="M554" s="526"/>
    </row>
    <row r="555" spans="1:13" x14ac:dyDescent="0.25">
      <c r="A555" s="524"/>
      <c r="B555" s="575">
        <v>42748</v>
      </c>
      <c r="C555" s="524">
        <v>500</v>
      </c>
      <c r="D555" s="525">
        <v>17.260000000000002</v>
      </c>
      <c r="E555" s="526">
        <v>0</v>
      </c>
      <c r="F555" s="526">
        <f t="shared" si="85"/>
        <v>8630</v>
      </c>
      <c r="G555" s="524"/>
      <c r="H555" s="542"/>
      <c r="I555" s="525"/>
      <c r="J555" s="526"/>
      <c r="K555" s="526"/>
      <c r="L555" s="524"/>
      <c r="M555" s="526"/>
    </row>
    <row r="556" spans="1:13" x14ac:dyDescent="0.25">
      <c r="A556" s="524"/>
      <c r="B556" s="575"/>
      <c r="C556" s="524"/>
      <c r="D556" s="525"/>
      <c r="E556" s="526"/>
      <c r="F556" s="526"/>
      <c r="G556" s="524"/>
      <c r="H556" s="542"/>
      <c r="I556" s="525"/>
      <c r="J556" s="526"/>
      <c r="K556" s="526"/>
      <c r="L556" s="524"/>
      <c r="M556" s="526"/>
    </row>
    <row r="557" spans="1:13" x14ac:dyDescent="0.25">
      <c r="A557" s="524"/>
      <c r="B557" s="575"/>
      <c r="C557" s="524"/>
      <c r="D557" s="525"/>
      <c r="E557" s="526"/>
      <c r="F557" s="526"/>
      <c r="G557" s="524"/>
      <c r="H557" s="542"/>
      <c r="I557" s="525"/>
      <c r="J557" s="526"/>
      <c r="K557" s="526"/>
      <c r="L557" s="524"/>
      <c r="M557" s="526"/>
    </row>
    <row r="558" spans="1:13" x14ac:dyDescent="0.25">
      <c r="A558" s="645"/>
      <c r="B558" s="575"/>
      <c r="C558" s="524"/>
      <c r="D558" s="525"/>
      <c r="E558" s="526"/>
      <c r="F558" s="526"/>
      <c r="G558" s="524"/>
      <c r="H558" s="542"/>
      <c r="I558" s="525"/>
      <c r="J558" s="526"/>
      <c r="K558" s="526"/>
      <c r="L558" s="524"/>
      <c r="M558" s="526"/>
    </row>
    <row r="559" spans="1:13" x14ac:dyDescent="0.25">
      <c r="A559" s="645"/>
      <c r="B559" s="575"/>
      <c r="C559" s="524"/>
      <c r="D559" s="525"/>
      <c r="E559" s="526"/>
      <c r="F559" s="526"/>
      <c r="G559" s="524"/>
      <c r="H559" s="542"/>
      <c r="I559" s="525"/>
      <c r="J559" s="526"/>
      <c r="K559" s="526"/>
      <c r="L559" s="524"/>
      <c r="M559" s="526"/>
    </row>
    <row r="560" spans="1:13" x14ac:dyDescent="0.25">
      <c r="A560" s="645"/>
      <c r="B560" s="575"/>
      <c r="C560" s="524"/>
      <c r="D560" s="525"/>
      <c r="E560" s="526"/>
      <c r="F560" s="526"/>
      <c r="G560" s="524"/>
      <c r="H560" s="542"/>
      <c r="I560" s="525"/>
      <c r="J560" s="526"/>
      <c r="K560" s="526"/>
      <c r="L560" s="524"/>
      <c r="M560" s="526"/>
    </row>
    <row r="561" spans="1:13" x14ac:dyDescent="0.25">
      <c r="A561" s="645"/>
      <c r="B561" s="575"/>
      <c r="C561" s="524"/>
      <c r="D561" s="525"/>
      <c r="E561" s="526"/>
      <c r="F561" s="526"/>
      <c r="G561" s="524"/>
      <c r="H561" s="542"/>
      <c r="I561" s="525"/>
      <c r="J561" s="526"/>
      <c r="K561" s="526"/>
      <c r="L561" s="524"/>
      <c r="M561" s="526"/>
    </row>
    <row r="562" spans="1:13" x14ac:dyDescent="0.25">
      <c r="A562" s="524"/>
      <c r="B562" s="575"/>
      <c r="C562" s="524"/>
      <c r="D562" s="525"/>
      <c r="E562" s="526"/>
      <c r="F562" s="526"/>
      <c r="G562" s="524"/>
      <c r="H562" s="542"/>
      <c r="I562" s="525"/>
      <c r="J562" s="526"/>
      <c r="K562" s="526"/>
      <c r="L562" s="524"/>
      <c r="M562" s="526"/>
    </row>
    <row r="563" spans="1:13" x14ac:dyDescent="0.25">
      <c r="A563" s="524"/>
      <c r="B563" s="575"/>
      <c r="C563" s="524"/>
      <c r="D563" s="525"/>
      <c r="E563" s="526"/>
      <c r="F563" s="526"/>
      <c r="G563" s="524"/>
      <c r="H563" s="542"/>
      <c r="I563" s="525"/>
      <c r="J563" s="526"/>
      <c r="K563" s="526"/>
      <c r="L563" s="524"/>
      <c r="M563" s="526"/>
    </row>
    <row r="564" spans="1:13" x14ac:dyDescent="0.25">
      <c r="A564" s="524"/>
      <c r="B564" s="575"/>
      <c r="C564" s="524"/>
      <c r="D564" s="525"/>
      <c r="E564" s="526"/>
      <c r="F564" s="526"/>
      <c r="G564" s="524"/>
      <c r="H564" s="542"/>
      <c r="I564" s="525"/>
      <c r="J564" s="526"/>
      <c r="K564" s="526"/>
      <c r="L564" s="524"/>
      <c r="M564" s="526"/>
    </row>
    <row r="565" spans="1:13" x14ac:dyDescent="0.25">
      <c r="A565" s="524"/>
      <c r="B565" s="575"/>
      <c r="C565" s="524"/>
      <c r="D565" s="525"/>
      <c r="E565" s="526"/>
      <c r="F565" s="526"/>
      <c r="G565" s="524"/>
      <c r="H565" s="542"/>
      <c r="I565" s="525"/>
      <c r="J565" s="526"/>
      <c r="K565" s="526"/>
      <c r="L565" s="524"/>
      <c r="M565" s="526"/>
    </row>
    <row r="566" spans="1:13" x14ac:dyDescent="0.25">
      <c r="A566" s="524"/>
      <c r="B566" s="575"/>
      <c r="C566" s="524"/>
      <c r="D566" s="525"/>
      <c r="E566" s="526"/>
      <c r="F566" s="526"/>
      <c r="G566" s="524"/>
      <c r="H566" s="542"/>
      <c r="I566" s="525"/>
      <c r="J566" s="526"/>
      <c r="K566" s="526"/>
      <c r="L566" s="524"/>
      <c r="M566" s="526"/>
    </row>
    <row r="567" spans="1:13" x14ac:dyDescent="0.25">
      <c r="A567" s="524"/>
      <c r="B567" s="575"/>
      <c r="C567" s="524"/>
      <c r="D567" s="525"/>
      <c r="E567" s="526"/>
      <c r="F567" s="526"/>
      <c r="G567" s="524"/>
      <c r="H567" s="542"/>
      <c r="I567" s="525"/>
      <c r="J567" s="526"/>
      <c r="K567" s="526"/>
      <c r="L567" s="524"/>
      <c r="M567" s="526"/>
    </row>
    <row r="568" spans="1:13" x14ac:dyDescent="0.25">
      <c r="A568" s="524"/>
      <c r="B568" s="575"/>
      <c r="C568" s="524"/>
      <c r="D568" s="525"/>
      <c r="E568" s="526"/>
      <c r="F568" s="526"/>
      <c r="G568" s="524"/>
      <c r="H568" s="542"/>
      <c r="I568" s="525"/>
      <c r="J568" s="526"/>
      <c r="K568" s="526"/>
      <c r="L568" s="524"/>
      <c r="M568" s="526"/>
    </row>
    <row r="569" spans="1:13" x14ac:dyDescent="0.25">
      <c r="A569" s="524"/>
      <c r="B569" s="575"/>
      <c r="C569" s="524"/>
      <c r="D569" s="525"/>
      <c r="E569" s="526"/>
      <c r="F569" s="526"/>
      <c r="G569" s="524"/>
      <c r="H569" s="542"/>
      <c r="I569" s="525"/>
      <c r="J569" s="526"/>
      <c r="K569" s="526"/>
      <c r="L569" s="524"/>
      <c r="M569" s="526"/>
    </row>
    <row r="570" spans="1:13" x14ac:dyDescent="0.25">
      <c r="A570" s="524"/>
      <c r="B570" s="575"/>
      <c r="C570" s="524"/>
      <c r="D570" s="525"/>
      <c r="E570" s="526"/>
      <c r="F570" s="526"/>
      <c r="G570" s="524"/>
      <c r="H570" s="542"/>
      <c r="I570" s="525"/>
      <c r="J570" s="526"/>
      <c r="K570" s="526"/>
      <c r="L570" s="524"/>
      <c r="M570" s="526"/>
    </row>
    <row r="571" spans="1:13" x14ac:dyDescent="0.25">
      <c r="A571" s="524"/>
      <c r="B571" s="575"/>
      <c r="C571" s="524"/>
      <c r="D571" s="525"/>
      <c r="E571" s="526"/>
      <c r="F571" s="526"/>
      <c r="G571" s="524"/>
      <c r="H571" s="542"/>
      <c r="I571" s="525"/>
      <c r="J571" s="526"/>
      <c r="K571" s="526"/>
      <c r="L571" s="524"/>
      <c r="M571" s="526"/>
    </row>
    <row r="572" spans="1:13" x14ac:dyDescent="0.25">
      <c r="A572" s="524"/>
      <c r="B572" s="575"/>
      <c r="C572" s="524"/>
      <c r="D572" s="525"/>
      <c r="E572" s="526"/>
      <c r="F572" s="526"/>
      <c r="G572" s="524"/>
      <c r="H572" s="542"/>
      <c r="I572" s="525"/>
      <c r="J572" s="526"/>
      <c r="K572" s="526"/>
      <c r="L572" s="524"/>
      <c r="M572" s="526"/>
    </row>
    <row r="573" spans="1:13" x14ac:dyDescent="0.25">
      <c r="A573" s="524"/>
      <c r="B573" s="575"/>
      <c r="C573" s="524"/>
      <c r="D573" s="525"/>
      <c r="E573" s="526"/>
      <c r="F573" s="526"/>
      <c r="G573" s="524"/>
      <c r="H573" s="542"/>
      <c r="I573" s="525"/>
      <c r="J573" s="526"/>
      <c r="K573" s="526"/>
      <c r="L573" s="524"/>
      <c r="M573" s="526"/>
    </row>
    <row r="574" spans="1:13" x14ac:dyDescent="0.25">
      <c r="A574" s="524"/>
      <c r="B574" s="575"/>
      <c r="C574" s="524"/>
      <c r="D574" s="525"/>
      <c r="E574" s="526"/>
      <c r="F574" s="526"/>
      <c r="G574" s="524"/>
      <c r="H574" s="542"/>
      <c r="I574" s="525"/>
      <c r="J574" s="526"/>
      <c r="K574" s="526"/>
      <c r="L574" s="524"/>
      <c r="M574" s="526"/>
    </row>
    <row r="575" spans="1:13" x14ac:dyDescent="0.25">
      <c r="A575" s="524"/>
      <c r="B575" s="575"/>
      <c r="C575" s="524"/>
      <c r="D575" s="525"/>
      <c r="E575" s="526"/>
      <c r="F575" s="526"/>
      <c r="G575" s="524"/>
      <c r="H575" s="542"/>
      <c r="I575" s="525"/>
      <c r="J575" s="526"/>
      <c r="K575" s="526"/>
      <c r="L575" s="524"/>
      <c r="M575" s="526"/>
    </row>
    <row r="576" spans="1:13" x14ac:dyDescent="0.25">
      <c r="A576" s="524"/>
      <c r="B576" s="575"/>
      <c r="C576" s="524"/>
      <c r="D576" s="525"/>
      <c r="E576" s="526"/>
      <c r="F576" s="526"/>
      <c r="G576" s="524"/>
      <c r="H576" s="542"/>
      <c r="I576" s="525"/>
      <c r="J576" s="526"/>
      <c r="K576" s="526"/>
      <c r="L576" s="524"/>
      <c r="M576" s="526"/>
    </row>
    <row r="577" spans="1:13" x14ac:dyDescent="0.25">
      <c r="A577" s="524"/>
      <c r="B577" s="575"/>
      <c r="C577" s="524"/>
      <c r="D577" s="525"/>
      <c r="E577" s="526"/>
      <c r="F577" s="526"/>
      <c r="G577" s="524"/>
      <c r="H577" s="542"/>
      <c r="I577" s="525"/>
      <c r="J577" s="526"/>
      <c r="K577" s="526"/>
      <c r="L577" s="524"/>
      <c r="M577" s="526"/>
    </row>
    <row r="578" spans="1:13" x14ac:dyDescent="0.25">
      <c r="A578" s="524"/>
      <c r="B578" s="575"/>
      <c r="C578" s="524"/>
      <c r="D578" s="525"/>
      <c r="E578" s="526"/>
      <c r="F578" s="526"/>
      <c r="G578" s="524"/>
      <c r="H578" s="542"/>
      <c r="I578" s="525"/>
      <c r="J578" s="526"/>
      <c r="K578" s="526"/>
      <c r="L578" s="524"/>
      <c r="M578" s="526"/>
    </row>
    <row r="579" spans="1:13" x14ac:dyDescent="0.25">
      <c r="A579" s="544" t="s">
        <v>81</v>
      </c>
      <c r="B579" s="650"/>
      <c r="C579" s="568">
        <f>SUM(C318:C578)</f>
        <v>133812</v>
      </c>
      <c r="D579" s="546"/>
      <c r="E579" s="546"/>
      <c r="F579" s="546">
        <f>SUM(F318:F578)</f>
        <v>1899450.8389999999</v>
      </c>
      <c r="G579" s="545"/>
      <c r="H579" s="568">
        <f>SUM(H318:H578)</f>
        <v>133812</v>
      </c>
      <c r="I579" s="651"/>
      <c r="J579" s="546"/>
      <c r="K579" s="546">
        <f>SUM(K318:K578)</f>
        <v>1911314.2100000016</v>
      </c>
      <c r="L579" s="545"/>
      <c r="M579" s="546">
        <f>SUM(M318:M328)</f>
        <v>2752.2000000000003</v>
      </c>
    </row>
    <row r="580" spans="1:13" ht="15.75" thickBot="1" x14ac:dyDescent="0.3">
      <c r="A580" s="547" t="s">
        <v>197</v>
      </c>
      <c r="B580" s="652"/>
      <c r="C580" s="549">
        <f>SumByColor($A$32, C318:C578)</f>
        <v>0</v>
      </c>
      <c r="D580" s="549"/>
      <c r="E580" s="549"/>
      <c r="F580" s="550">
        <f>SumByColor($A$32, F318:F578)</f>
        <v>0</v>
      </c>
      <c r="G580" s="549"/>
      <c r="H580" s="549">
        <f>SumByColor($A$32, H318:H578)</f>
        <v>0</v>
      </c>
      <c r="I580" s="549"/>
      <c r="J580" s="550"/>
      <c r="K580" s="550">
        <f>SumByColor($A$32, K318:K578)</f>
        <v>0</v>
      </c>
      <c r="L580" s="549"/>
      <c r="M580" s="550">
        <f>SumByColor($A$32, M318:M578)</f>
        <v>0</v>
      </c>
    </row>
    <row r="581" spans="1:13" x14ac:dyDescent="0.25">
      <c r="A581" s="524"/>
      <c r="B581" s="575"/>
      <c r="C581" s="524"/>
      <c r="D581" s="525"/>
      <c r="E581" s="526"/>
      <c r="F581" s="526"/>
      <c r="G581" s="524"/>
      <c r="H581" s="542"/>
      <c r="I581" s="525"/>
      <c r="J581" s="526"/>
      <c r="K581" s="526"/>
      <c r="L581" s="524"/>
      <c r="M581" s="526"/>
    </row>
  </sheetData>
  <mergeCells count="1">
    <mergeCell ref="O41:P41"/>
  </mergeCells>
  <conditionalFormatting sqref="F64:F82 H64:H82 H217 F217 H288:H312 F288:F312">
    <cfRule type="expression" dxfId="939" priority="102">
      <formula>F64&gt;0</formula>
    </cfRule>
    <cfRule type="expression" dxfId="938" priority="103">
      <formula>F64&lt;0</formula>
    </cfRule>
  </conditionalFormatting>
  <conditionalFormatting sqref="O42:O7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57:F63">
    <cfRule type="expression" dxfId="937" priority="95">
      <formula>F57&gt;0</formula>
    </cfRule>
    <cfRule type="expression" dxfId="936" priority="96">
      <formula>F57&lt;0</formula>
    </cfRule>
  </conditionalFormatting>
  <conditionalFormatting sqref="H57:H63">
    <cfRule type="expression" dxfId="935" priority="91">
      <formula>H57&gt;0</formula>
    </cfRule>
    <cfRule type="expression" dxfId="934" priority="92">
      <formula>H57&lt;0</formula>
    </cfRule>
  </conditionalFormatting>
  <conditionalFormatting sqref="Q8">
    <cfRule type="expression" dxfId="933" priority="77">
      <formula>Q8&gt;0</formula>
    </cfRule>
    <cfRule type="expression" dxfId="932" priority="78">
      <formula>Q8&lt;0</formula>
    </cfRule>
  </conditionalFormatting>
  <conditionalFormatting sqref="Q7">
    <cfRule type="expression" dxfId="931" priority="79">
      <formula>Q7&gt;0</formula>
    </cfRule>
    <cfRule type="expression" dxfId="930" priority="80">
      <formula>Q7&lt;0</formula>
    </cfRule>
  </conditionalFormatting>
  <conditionalFormatting sqref="F165:F171">
    <cfRule type="expression" dxfId="929" priority="51">
      <formula>F165&gt;0</formula>
    </cfRule>
    <cfRule type="expression" dxfId="928" priority="52">
      <formula>F165&lt;0</formula>
    </cfRule>
  </conditionalFormatting>
  <conditionalFormatting sqref="F90:F108 H90:H108">
    <cfRule type="expression" dxfId="927" priority="73">
      <formula>F90&gt;0</formula>
    </cfRule>
    <cfRule type="expression" dxfId="926" priority="74">
      <formula>F90&lt;0</formula>
    </cfRule>
  </conditionalFormatting>
  <conditionalFormatting sqref="F83:F89">
    <cfRule type="expression" dxfId="925" priority="71">
      <formula>F83&gt;0</formula>
    </cfRule>
    <cfRule type="expression" dxfId="924" priority="72">
      <formula>F83&lt;0</formula>
    </cfRule>
  </conditionalFormatting>
  <conditionalFormatting sqref="H83:H89">
    <cfRule type="expression" dxfId="923" priority="69">
      <formula>H83&gt;0</formula>
    </cfRule>
    <cfRule type="expression" dxfId="922" priority="70">
      <formula>H83&lt;0</formula>
    </cfRule>
  </conditionalFormatting>
  <conditionalFormatting sqref="F116:F134 H116:H134">
    <cfRule type="expression" dxfId="921" priority="67">
      <formula>F116&gt;0</formula>
    </cfRule>
    <cfRule type="expression" dxfId="920" priority="68">
      <formula>F116&lt;0</formula>
    </cfRule>
  </conditionalFormatting>
  <conditionalFormatting sqref="F109:F115">
    <cfRule type="expression" dxfId="919" priority="65">
      <formula>F109&gt;0</formula>
    </cfRule>
    <cfRule type="expression" dxfId="918" priority="66">
      <formula>F109&lt;0</formula>
    </cfRule>
  </conditionalFormatting>
  <conditionalFormatting sqref="H109:H115">
    <cfRule type="expression" dxfId="917" priority="63">
      <formula>H109&gt;0</formula>
    </cfRule>
    <cfRule type="expression" dxfId="916" priority="64">
      <formula>H109&lt;0</formula>
    </cfRule>
  </conditionalFormatting>
  <conditionalFormatting sqref="F142:F159 H142:H159">
    <cfRule type="expression" dxfId="915" priority="61">
      <formula>F142&gt;0</formula>
    </cfRule>
    <cfRule type="expression" dxfId="914" priority="62">
      <formula>F142&lt;0</formula>
    </cfRule>
  </conditionalFormatting>
  <conditionalFormatting sqref="F135:F141">
    <cfRule type="expression" dxfId="913" priority="59">
      <formula>F135&gt;0</formula>
    </cfRule>
    <cfRule type="expression" dxfId="912" priority="60">
      <formula>F135&lt;0</formula>
    </cfRule>
  </conditionalFormatting>
  <conditionalFormatting sqref="H135:H141">
    <cfRule type="expression" dxfId="911" priority="57">
      <formula>H135&gt;0</formula>
    </cfRule>
    <cfRule type="expression" dxfId="910" priority="58">
      <formula>H135&lt;0</formula>
    </cfRule>
  </conditionalFormatting>
  <conditionalFormatting sqref="F160:F164 H160:H164">
    <cfRule type="expression" dxfId="909" priority="55">
      <formula>F160&gt;0</formula>
    </cfRule>
    <cfRule type="expression" dxfId="908" priority="56">
      <formula>F160&lt;0</formula>
    </cfRule>
  </conditionalFormatting>
  <conditionalFormatting sqref="F172:F187 H172:H187">
    <cfRule type="expression" dxfId="907" priority="53">
      <formula>F172&gt;0</formula>
    </cfRule>
    <cfRule type="expression" dxfId="906" priority="54">
      <formula>F172&lt;0</formula>
    </cfRule>
  </conditionalFormatting>
  <conditionalFormatting sqref="H165:H171">
    <cfRule type="expression" dxfId="905" priority="49">
      <formula>H165&gt;0</formula>
    </cfRule>
    <cfRule type="expression" dxfId="904" priority="50">
      <formula>H165&lt;0</formula>
    </cfRule>
  </conditionalFormatting>
  <conditionalFormatting sqref="F188 H188">
    <cfRule type="expression" dxfId="903" priority="47">
      <formula>F188&gt;0</formula>
    </cfRule>
    <cfRule type="expression" dxfId="902" priority="48">
      <formula>F188&lt;0</formula>
    </cfRule>
  </conditionalFormatting>
  <conditionalFormatting sqref="F189:F193 H189:H193">
    <cfRule type="expression" dxfId="901" priority="45">
      <formula>F189&gt;0</formula>
    </cfRule>
    <cfRule type="expression" dxfId="900" priority="46">
      <formula>F189&lt;0</formula>
    </cfRule>
  </conditionalFormatting>
  <conditionalFormatting sqref="F201:F216 H201:H216">
    <cfRule type="expression" dxfId="899" priority="43">
      <formula>F201&gt;0</formula>
    </cfRule>
    <cfRule type="expression" dxfId="898" priority="44">
      <formula>F201&lt;0</formula>
    </cfRule>
  </conditionalFormatting>
  <conditionalFormatting sqref="F194:F200">
    <cfRule type="expression" dxfId="897" priority="41">
      <formula>F194&gt;0</formula>
    </cfRule>
    <cfRule type="expression" dxfId="896" priority="42">
      <formula>F194&lt;0</formula>
    </cfRule>
  </conditionalFormatting>
  <conditionalFormatting sqref="H194:H200">
    <cfRule type="expression" dxfId="895" priority="39">
      <formula>H194&gt;0</formula>
    </cfRule>
    <cfRule type="expression" dxfId="894" priority="40">
      <formula>H194&lt;0</formula>
    </cfRule>
  </conditionalFormatting>
  <conditionalFormatting sqref="F218:F223 H218:H223">
    <cfRule type="expression" dxfId="893" priority="37">
      <formula>F218&gt;0</formula>
    </cfRule>
    <cfRule type="expression" dxfId="892" priority="38">
      <formula>F218&lt;0</formula>
    </cfRule>
  </conditionalFormatting>
  <conditionalFormatting sqref="F224 H224">
    <cfRule type="expression" dxfId="891" priority="35">
      <formula>F224&gt;0</formula>
    </cfRule>
    <cfRule type="expression" dxfId="890" priority="36">
      <formula>F224&lt;0</formula>
    </cfRule>
  </conditionalFormatting>
  <conditionalFormatting sqref="F225:F229 H225:H229">
    <cfRule type="expression" dxfId="889" priority="33">
      <formula>F225&gt;0</formula>
    </cfRule>
    <cfRule type="expression" dxfId="888" priority="34">
      <formula>F225&lt;0</formula>
    </cfRule>
  </conditionalFormatting>
  <conditionalFormatting sqref="F237:F252 H237:H252">
    <cfRule type="expression" dxfId="887" priority="31">
      <formula>F237&gt;0</formula>
    </cfRule>
    <cfRule type="expression" dxfId="886" priority="32">
      <formula>F237&lt;0</formula>
    </cfRule>
  </conditionalFormatting>
  <conditionalFormatting sqref="F230:F236">
    <cfRule type="expression" dxfId="885" priority="29">
      <formula>F230&gt;0</formula>
    </cfRule>
    <cfRule type="expression" dxfId="884" priority="30">
      <formula>F230&lt;0</formula>
    </cfRule>
  </conditionalFormatting>
  <conditionalFormatting sqref="H230:H236">
    <cfRule type="expression" dxfId="883" priority="27">
      <formula>H230&gt;0</formula>
    </cfRule>
    <cfRule type="expression" dxfId="882" priority="28">
      <formula>H230&lt;0</formula>
    </cfRule>
  </conditionalFormatting>
  <conditionalFormatting sqref="F253:F258 H253:H258">
    <cfRule type="expression" dxfId="881" priority="25">
      <formula>F253&gt;0</formula>
    </cfRule>
    <cfRule type="expression" dxfId="880" priority="26">
      <formula>F253&lt;0</formula>
    </cfRule>
  </conditionalFormatting>
  <conditionalFormatting sqref="F259 H259">
    <cfRule type="expression" dxfId="879" priority="23">
      <formula>F259&gt;0</formula>
    </cfRule>
    <cfRule type="expression" dxfId="878" priority="24">
      <formula>F259&lt;0</formula>
    </cfRule>
  </conditionalFormatting>
  <conditionalFormatting sqref="F260:F264 H260:H264">
    <cfRule type="expression" dxfId="877" priority="21">
      <formula>F260&gt;0</formula>
    </cfRule>
    <cfRule type="expression" dxfId="876" priority="22">
      <formula>F260&lt;0</formula>
    </cfRule>
  </conditionalFormatting>
  <conditionalFormatting sqref="F272:F287 H272:H287">
    <cfRule type="expression" dxfId="875" priority="19">
      <formula>F272&gt;0</formula>
    </cfRule>
    <cfRule type="expression" dxfId="874" priority="20">
      <formula>F272&lt;0</formula>
    </cfRule>
  </conditionalFormatting>
  <conditionalFormatting sqref="F265:F271">
    <cfRule type="expression" dxfId="873" priority="17">
      <formula>F265&gt;0</formula>
    </cfRule>
    <cfRule type="expression" dxfId="872" priority="18">
      <formula>F265&lt;0</formula>
    </cfRule>
  </conditionalFormatting>
  <conditionalFormatting sqref="H265:H271">
    <cfRule type="expression" dxfId="871" priority="15">
      <formula>H265&gt;0</formula>
    </cfRule>
    <cfRule type="expression" dxfId="870" priority="16">
      <formula>H265&lt;0</formula>
    </cfRule>
  </conditionalFormatting>
  <conditionalFormatting sqref="M316">
    <cfRule type="expression" dxfId="869" priority="13">
      <formula>M316&gt;0</formula>
    </cfRule>
    <cfRule type="expression" dxfId="868" priority="14">
      <formula>M316&lt;0</formula>
    </cfRule>
  </conditionalFormatting>
  <conditionalFormatting sqref="F45 F47 F49 F51 H45 H47 H49 H51">
    <cfRule type="expression" dxfId="867" priority="11">
      <formula>F45&gt;0</formula>
    </cfRule>
    <cfRule type="expression" dxfId="866" priority="12">
      <formula>F45&lt;0</formula>
    </cfRule>
  </conditionalFormatting>
  <conditionalFormatting sqref="F46 F48 F50 F42:F44">
    <cfRule type="expression" dxfId="865" priority="9">
      <formula>F42&gt;0</formula>
    </cfRule>
    <cfRule type="expression" dxfId="864" priority="10">
      <formula>F42&lt;0</formula>
    </cfRule>
  </conditionalFormatting>
  <conditionalFormatting sqref="H46 H48 H50 H42:H44">
    <cfRule type="expression" dxfId="863" priority="7">
      <formula>H42&gt;0</formula>
    </cfRule>
    <cfRule type="expression" dxfId="862" priority="8">
      <formula>H42&lt;0</formula>
    </cfRule>
  </conditionalFormatting>
  <conditionalFormatting sqref="F36:F41 H36:H41">
    <cfRule type="expression" dxfId="861" priority="5">
      <formula>F36&gt;0</formula>
    </cfRule>
    <cfRule type="expression" dxfId="860" priority="6">
      <formula>F36&lt;0</formula>
    </cfRule>
  </conditionalFormatting>
  <conditionalFormatting sqref="J38">
    <cfRule type="expression" dxfId="859" priority="3">
      <formula>J38&gt;0</formula>
    </cfRule>
    <cfRule type="expression" dxfId="858" priority="4">
      <formula>J38&lt;0</formula>
    </cfRule>
  </conditionalFormatting>
  <conditionalFormatting sqref="J39:J46">
    <cfRule type="expression" dxfId="857" priority="1">
      <formula>J39&gt;0</formula>
    </cfRule>
    <cfRule type="expression" dxfId="856" priority="2">
      <formula>J39&lt;0</formula>
    </cfRule>
  </conditionalFormatting>
  <hyperlinks>
    <hyperlink ref="A3" location="ACTIVE!A1" display="Back"/>
    <hyperlink ref="A31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11.710937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500">
        <v>42718</v>
      </c>
      <c r="C2" s="4">
        <v>200</v>
      </c>
      <c r="D2" s="239">
        <v>34.78</v>
      </c>
      <c r="E2" s="3">
        <v>0</v>
      </c>
      <c r="F2" s="3">
        <f t="shared" ref="F2:F12" si="0">D2*C2+E2</f>
        <v>6956</v>
      </c>
      <c r="G2" s="500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613" t="s">
        <v>391</v>
      </c>
      <c r="W2" s="132">
        <v>42797</v>
      </c>
      <c r="X2" s="10">
        <v>30.68</v>
      </c>
      <c r="Y2" s="10">
        <v>30.75</v>
      </c>
      <c r="Z2" s="10">
        <v>29.43</v>
      </c>
      <c r="AA2" s="10">
        <v>29.63</v>
      </c>
      <c r="AB2" s="94">
        <v>18766600</v>
      </c>
      <c r="AC2" s="10">
        <v>29.63</v>
      </c>
      <c r="AD2" s="2">
        <f>Y2-Z2</f>
        <v>1.3200000000000003</v>
      </c>
      <c r="AE2" s="137">
        <f>AC2/AC3-1</f>
        <v>-3.390935767851333E-2</v>
      </c>
    </row>
    <row r="3" spans="1:31" x14ac:dyDescent="0.25">
      <c r="A3" s="23" t="s">
        <v>71</v>
      </c>
      <c r="B3" s="501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"/>
      <c r="H3" s="4"/>
      <c r="I3" s="3"/>
      <c r="J3" s="3"/>
      <c r="K3" s="3"/>
      <c r="L3" s="73"/>
      <c r="M3" s="3"/>
      <c r="N3" s="4"/>
      <c r="O3" s="11" t="s">
        <v>58</v>
      </c>
      <c r="Q3" s="490">
        <f>IF(Q2=0, Q4, (F28-K28-M28)/Q2)</f>
        <v>31.955100000000002</v>
      </c>
      <c r="T3" s="1" t="s">
        <v>538</v>
      </c>
      <c r="W3" s="132">
        <v>42796</v>
      </c>
      <c r="X3" s="10">
        <v>32.06</v>
      </c>
      <c r="Y3" s="10">
        <v>32.06</v>
      </c>
      <c r="Z3" s="10">
        <v>30.26</v>
      </c>
      <c r="AA3" s="10">
        <v>30.67</v>
      </c>
      <c r="AB3" s="94">
        <v>22533100</v>
      </c>
      <c r="AC3" s="10">
        <v>30.67</v>
      </c>
      <c r="AD3" s="2">
        <f t="shared" ref="AD3:AD66" si="1">Y3-Z3</f>
        <v>1.8000000000000007</v>
      </c>
      <c r="AE3" s="137">
        <f t="shared" ref="AE3:AE66" si="2">AC3/AC4-1</f>
        <v>-4.3356207111665657E-2</v>
      </c>
    </row>
    <row r="4" spans="1:31" x14ac:dyDescent="0.25">
      <c r="B4" s="501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4"/>
      <c r="I4" s="3"/>
      <c r="J4" s="3"/>
      <c r="K4" s="3"/>
      <c r="L4" s="73"/>
      <c r="M4" s="3"/>
      <c r="N4" s="4"/>
      <c r="O4" s="11" t="s">
        <v>66</v>
      </c>
      <c r="Q4" s="492">
        <v>28.82</v>
      </c>
      <c r="R4" s="499">
        <v>-2.9999999999999997E-4</v>
      </c>
      <c r="T4" s="162"/>
      <c r="W4" s="132">
        <v>42795</v>
      </c>
      <c r="X4" s="10">
        <v>31.93</v>
      </c>
      <c r="Y4" s="10">
        <v>32.479999999999997</v>
      </c>
      <c r="Z4" s="10">
        <v>31.68</v>
      </c>
      <c r="AA4" s="10">
        <v>32.06</v>
      </c>
      <c r="AB4" s="94">
        <v>13123600</v>
      </c>
      <c r="AC4" s="10">
        <v>32.06</v>
      </c>
      <c r="AD4" s="2">
        <f t="shared" si="1"/>
        <v>0.79999999999999716</v>
      </c>
      <c r="AE4" s="137">
        <f t="shared" si="2"/>
        <v>8.1761006289309268E-3</v>
      </c>
    </row>
    <row r="5" spans="1:31" x14ac:dyDescent="0.25">
      <c r="B5" s="501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43230</v>
      </c>
      <c r="W5" s="132">
        <v>42794</v>
      </c>
      <c r="X5" s="10">
        <v>32.08</v>
      </c>
      <c r="Y5" s="10">
        <v>32.159999999999997</v>
      </c>
      <c r="Z5" s="10">
        <v>31.58</v>
      </c>
      <c r="AA5" s="10">
        <v>31.8</v>
      </c>
      <c r="AB5" s="94">
        <v>12794100</v>
      </c>
      <c r="AC5" s="10">
        <v>31.8</v>
      </c>
      <c r="AD5" s="2">
        <f t="shared" si="1"/>
        <v>0.57999999999999829</v>
      </c>
      <c r="AE5" s="137">
        <f t="shared" si="2"/>
        <v>-1.303538175046548E-2</v>
      </c>
    </row>
    <row r="6" spans="1:31" x14ac:dyDescent="0.25">
      <c r="B6" s="501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4"/>
      <c r="I6" s="3"/>
      <c r="J6" s="3"/>
      <c r="K6" s="3"/>
      <c r="O6" s="11" t="s">
        <v>64</v>
      </c>
      <c r="Q6" s="2">
        <f>Q3*Q2</f>
        <v>47932.65</v>
      </c>
      <c r="W6" s="132">
        <v>42793</v>
      </c>
      <c r="X6" s="10">
        <v>32.840000000000003</v>
      </c>
      <c r="Y6" s="10">
        <v>32.9</v>
      </c>
      <c r="Z6" s="10">
        <v>32.03</v>
      </c>
      <c r="AA6" s="10">
        <v>32.22</v>
      </c>
      <c r="AB6" s="94">
        <v>12143400</v>
      </c>
      <c r="AC6" s="10">
        <v>32.22</v>
      </c>
      <c r="AD6" s="2">
        <f t="shared" si="1"/>
        <v>0.86999999999999744</v>
      </c>
      <c r="AE6" s="137">
        <f t="shared" si="2"/>
        <v>-3.2141784319615563E-2</v>
      </c>
    </row>
    <row r="7" spans="1:31" x14ac:dyDescent="0.25">
      <c r="B7" s="502">
        <v>42788</v>
      </c>
      <c r="C7" s="4">
        <v>200</v>
      </c>
      <c r="D7" s="239">
        <v>33.08</v>
      </c>
      <c r="E7" s="3">
        <v>0</v>
      </c>
      <c r="F7" s="3">
        <f t="shared" si="0"/>
        <v>6616</v>
      </c>
      <c r="G7" s="73"/>
      <c r="H7" s="184"/>
      <c r="I7" s="3"/>
      <c r="J7" s="3"/>
      <c r="K7" s="3"/>
      <c r="O7" s="11" t="s">
        <v>181</v>
      </c>
      <c r="Q7" s="2">
        <f>Q10+Q8</f>
        <v>-2954.6800000000076</v>
      </c>
      <c r="R7">
        <v>400</v>
      </c>
      <c r="W7" s="132">
        <v>42790</v>
      </c>
      <c r="X7" s="10">
        <v>32.82</v>
      </c>
      <c r="Y7" s="10">
        <v>33.29</v>
      </c>
      <c r="Z7" s="10">
        <v>32.81</v>
      </c>
      <c r="AA7" s="10">
        <v>33.29</v>
      </c>
      <c r="AB7" s="94">
        <v>6822400</v>
      </c>
      <c r="AC7" s="10">
        <v>33.29</v>
      </c>
      <c r="AD7" s="2">
        <f t="shared" si="1"/>
        <v>0.47999999999999687</v>
      </c>
      <c r="AE7" s="137">
        <f t="shared" si="2"/>
        <v>9.0936647468928822E-3</v>
      </c>
    </row>
    <row r="8" spans="1:31" x14ac:dyDescent="0.25">
      <c r="B8" s="502">
        <v>42793</v>
      </c>
      <c r="C8" s="4">
        <v>200</v>
      </c>
      <c r="D8" s="239">
        <v>32.18</v>
      </c>
      <c r="E8" s="3">
        <v>0</v>
      </c>
      <c r="F8" s="3">
        <f t="shared" si="0"/>
        <v>6436</v>
      </c>
      <c r="G8" s="73"/>
      <c r="H8" s="184"/>
      <c r="I8" s="3"/>
      <c r="J8" s="3"/>
      <c r="K8" s="3"/>
      <c r="O8" s="11" t="s">
        <v>183</v>
      </c>
      <c r="P8" s="34"/>
      <c r="Q8" s="2">
        <f>K28+M28-F28+Q2*Q4</f>
        <v>-4702.6500000000015</v>
      </c>
      <c r="W8" s="132">
        <v>42789</v>
      </c>
      <c r="X8" s="10">
        <v>33.39</v>
      </c>
      <c r="Y8" s="10">
        <v>33.39</v>
      </c>
      <c r="Z8" s="10">
        <v>32.65</v>
      </c>
      <c r="AA8" s="10">
        <v>32.99</v>
      </c>
      <c r="AB8" s="94">
        <v>7772700</v>
      </c>
      <c r="AC8" s="10">
        <v>32.99</v>
      </c>
      <c r="AD8" s="2">
        <f t="shared" si="1"/>
        <v>0.74000000000000199</v>
      </c>
      <c r="AE8" s="137">
        <f t="shared" si="2"/>
        <v>-7.222389407162022E-3</v>
      </c>
    </row>
    <row r="9" spans="1:31" x14ac:dyDescent="0.25">
      <c r="B9" s="502">
        <v>42796</v>
      </c>
      <c r="C9" s="4">
        <v>200</v>
      </c>
      <c r="D9" s="239">
        <v>31.08</v>
      </c>
      <c r="E9" s="3">
        <v>0</v>
      </c>
      <c r="F9" s="3">
        <f t="shared" si="0"/>
        <v>6216</v>
      </c>
      <c r="G9" s="73"/>
      <c r="H9" s="184"/>
      <c r="I9" s="3"/>
      <c r="J9" s="3"/>
      <c r="K9" s="3"/>
      <c r="O9" s="11" t="s">
        <v>213</v>
      </c>
      <c r="Q9" s="137">
        <f>IF(Q2=0, 0, Q8/Q6)</f>
        <v>-9.8109534941214424E-2</v>
      </c>
      <c r="W9" s="132">
        <v>42788</v>
      </c>
      <c r="X9" s="10">
        <v>34.049999999999997</v>
      </c>
      <c r="Y9" s="10">
        <v>34.049999999999997</v>
      </c>
      <c r="Z9" s="10">
        <v>32.92</v>
      </c>
      <c r="AA9" s="10">
        <v>33.229999999999997</v>
      </c>
      <c r="AB9" s="94">
        <v>8825000</v>
      </c>
      <c r="AC9" s="10">
        <v>33.229999999999997</v>
      </c>
      <c r="AD9" s="2">
        <f t="shared" si="1"/>
        <v>1.1299999999999955</v>
      </c>
      <c r="AE9" s="137">
        <f t="shared" si="2"/>
        <v>-2.8930450029222787E-2</v>
      </c>
    </row>
    <row r="10" spans="1:31" x14ac:dyDescent="0.25">
      <c r="B10" s="502">
        <v>42796</v>
      </c>
      <c r="C10" s="4">
        <v>200</v>
      </c>
      <c r="D10" s="239">
        <v>30.58</v>
      </c>
      <c r="E10" s="3">
        <v>0</v>
      </c>
      <c r="F10" s="3">
        <f t="shared" si="0"/>
        <v>6116</v>
      </c>
      <c r="G10" s="73"/>
      <c r="H10" s="184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42787</v>
      </c>
      <c r="X10" s="10">
        <v>34.1</v>
      </c>
      <c r="Y10" s="10">
        <v>34.75</v>
      </c>
      <c r="Z10" s="10">
        <v>34.06</v>
      </c>
      <c r="AA10" s="10">
        <v>34.22</v>
      </c>
      <c r="AB10" s="94">
        <v>5166100</v>
      </c>
      <c r="AC10" s="10">
        <v>34.22</v>
      </c>
      <c r="AD10" s="2">
        <f t="shared" si="1"/>
        <v>0.68999999999999773</v>
      </c>
      <c r="AE10" s="137">
        <f t="shared" si="2"/>
        <v>6.174654513378508E-3</v>
      </c>
    </row>
    <row r="11" spans="1:31" x14ac:dyDescent="0.25">
      <c r="B11" s="502">
        <v>42796</v>
      </c>
      <c r="C11" s="4">
        <v>200</v>
      </c>
      <c r="D11" s="239">
        <v>30.38</v>
      </c>
      <c r="E11" s="3">
        <v>0</v>
      </c>
      <c r="F11" s="3">
        <f t="shared" si="0"/>
        <v>6076</v>
      </c>
      <c r="G11" s="73"/>
      <c r="H11" s="184"/>
      <c r="I11" s="3"/>
      <c r="J11" s="3"/>
      <c r="K11" s="3"/>
      <c r="O11" s="11" t="s">
        <v>178</v>
      </c>
      <c r="P11" s="34"/>
      <c r="Q11" s="137">
        <f>VALUE(TRIM(CLEAN(MID(U58, FIND("(", U58)+1, 5))))</f>
        <v>1.5699999999999999E-2</v>
      </c>
      <c r="W11" s="132">
        <v>42783</v>
      </c>
      <c r="X11" s="10">
        <v>33.9</v>
      </c>
      <c r="Y11" s="10">
        <v>34.54</v>
      </c>
      <c r="Z11" s="10">
        <v>33.770000000000003</v>
      </c>
      <c r="AA11" s="10">
        <v>34.01</v>
      </c>
      <c r="AB11" s="94">
        <v>7384900</v>
      </c>
      <c r="AC11" s="10">
        <v>34.01</v>
      </c>
      <c r="AD11" s="2">
        <f t="shared" si="1"/>
        <v>0.76999999999999602</v>
      </c>
      <c r="AE11" s="137">
        <f t="shared" si="2"/>
        <v>2.0624631703005658E-3</v>
      </c>
    </row>
    <row r="12" spans="1:31" x14ac:dyDescent="0.25">
      <c r="B12" s="502">
        <v>42797</v>
      </c>
      <c r="C12" s="4">
        <v>100</v>
      </c>
      <c r="D12" s="239">
        <v>30.055</v>
      </c>
      <c r="E12" s="3">
        <v>0</v>
      </c>
      <c r="F12" s="3">
        <f t="shared" si="0"/>
        <v>3005.5</v>
      </c>
      <c r="G12" s="73"/>
      <c r="H12" s="184"/>
      <c r="I12" s="3"/>
      <c r="J12" s="3"/>
      <c r="K12" s="3"/>
      <c r="W12" s="132">
        <v>42782</v>
      </c>
      <c r="X12" s="10">
        <v>33.65</v>
      </c>
      <c r="Y12" s="10">
        <v>34.270000000000003</v>
      </c>
      <c r="Z12" s="10">
        <v>33.61</v>
      </c>
      <c r="AA12" s="10">
        <v>33.94</v>
      </c>
      <c r="AB12" s="94">
        <v>7687100</v>
      </c>
      <c r="AC12" s="10">
        <v>33.94</v>
      </c>
      <c r="AD12" s="2">
        <f t="shared" si="1"/>
        <v>0.66000000000000369</v>
      </c>
      <c r="AE12" s="137">
        <f t="shared" si="2"/>
        <v>1.2831990450611785E-2</v>
      </c>
    </row>
    <row r="13" spans="1:31" x14ac:dyDescent="0.25">
      <c r="B13" s="501"/>
      <c r="C13" s="4"/>
      <c r="D13" s="3"/>
      <c r="E13" s="3"/>
      <c r="F13" s="3"/>
      <c r="G13" s="73"/>
      <c r="H13" s="184"/>
      <c r="I13" s="3"/>
      <c r="J13" s="3"/>
      <c r="K13" s="3"/>
      <c r="W13" s="132">
        <v>42781</v>
      </c>
      <c r="X13" s="10">
        <v>33.200000000000003</v>
      </c>
      <c r="Y13" s="10">
        <v>33.6</v>
      </c>
      <c r="Z13" s="10">
        <v>33.049999999999997</v>
      </c>
      <c r="AA13" s="10">
        <v>33.51</v>
      </c>
      <c r="AB13" s="94">
        <v>7719700</v>
      </c>
      <c r="AC13" s="10">
        <v>33.51</v>
      </c>
      <c r="AD13" s="2">
        <f t="shared" si="1"/>
        <v>0.55000000000000426</v>
      </c>
      <c r="AE13" s="137">
        <f t="shared" si="2"/>
        <v>1.3305110371938156E-2</v>
      </c>
    </row>
    <row r="14" spans="1:31" x14ac:dyDescent="0.25">
      <c r="B14" s="501"/>
      <c r="C14" s="4"/>
      <c r="D14" s="3"/>
      <c r="E14" s="3"/>
      <c r="F14" s="3"/>
      <c r="G14" s="73"/>
      <c r="H14" s="184"/>
      <c r="I14" s="3"/>
      <c r="J14" s="3"/>
      <c r="K14" s="3"/>
      <c r="W14" s="132">
        <v>42780</v>
      </c>
      <c r="X14" s="10">
        <v>33.18</v>
      </c>
      <c r="Y14" s="10">
        <v>33.340000000000003</v>
      </c>
      <c r="Z14" s="10">
        <v>32.67</v>
      </c>
      <c r="AA14" s="10">
        <v>33.07</v>
      </c>
      <c r="AB14" s="94">
        <v>13883400</v>
      </c>
      <c r="AC14" s="10">
        <v>33.07</v>
      </c>
      <c r="AD14" s="2">
        <f t="shared" si="1"/>
        <v>0.67000000000000171</v>
      </c>
      <c r="AE14" s="137">
        <f t="shared" si="2"/>
        <v>-4.2155977115326815E-3</v>
      </c>
    </row>
    <row r="15" spans="1:31" x14ac:dyDescent="0.25">
      <c r="B15" s="501"/>
      <c r="C15" s="4"/>
      <c r="D15" s="3"/>
      <c r="E15" s="3"/>
      <c r="F15" s="3"/>
      <c r="G15" s="73"/>
      <c r="H15" s="184"/>
      <c r="I15" s="3"/>
      <c r="J15" s="3"/>
      <c r="K15" s="3"/>
      <c r="W15" s="132">
        <v>42779</v>
      </c>
      <c r="X15" s="10">
        <v>33.44</v>
      </c>
      <c r="Y15" s="10">
        <v>33.67</v>
      </c>
      <c r="Z15" s="10">
        <v>33.15</v>
      </c>
      <c r="AA15" s="10">
        <v>33.21</v>
      </c>
      <c r="AB15" s="94">
        <v>5462200</v>
      </c>
      <c r="AC15" s="10">
        <v>33.21</v>
      </c>
      <c r="AD15" s="2">
        <f t="shared" si="1"/>
        <v>0.52000000000000313</v>
      </c>
      <c r="AE15" s="137" t="e">
        <f t="shared" si="2"/>
        <v>#DIV/0!</v>
      </c>
    </row>
    <row r="16" spans="1:31" x14ac:dyDescent="0.25">
      <c r="B16" s="501"/>
      <c r="C16" s="4"/>
      <c r="D16" s="3"/>
      <c r="E16" s="3"/>
      <c r="F16" s="3"/>
      <c r="G16" s="73"/>
      <c r="H16" s="184"/>
      <c r="I16" s="3"/>
      <c r="J16" s="3"/>
      <c r="K16" s="3"/>
      <c r="W16" s="132">
        <v>42779</v>
      </c>
      <c r="X16" s="10" t="s">
        <v>410</v>
      </c>
      <c r="Y16" s="10"/>
      <c r="Z16" s="10"/>
      <c r="AA16" s="10"/>
      <c r="AB16" s="94"/>
      <c r="AC16" s="10"/>
      <c r="AD16" s="2">
        <f t="shared" si="1"/>
        <v>0</v>
      </c>
      <c r="AE16" s="137">
        <f t="shared" si="2"/>
        <v>-1</v>
      </c>
    </row>
    <row r="17" spans="1:31" x14ac:dyDescent="0.25">
      <c r="B17" s="501"/>
      <c r="C17" s="4"/>
      <c r="D17" s="3"/>
      <c r="E17" s="3"/>
      <c r="F17" s="3"/>
      <c r="G17" s="73"/>
      <c r="H17" s="184"/>
      <c r="I17" s="3"/>
      <c r="J17" s="3"/>
      <c r="K17" s="3"/>
      <c r="W17" s="132">
        <v>42776</v>
      </c>
      <c r="X17" s="10">
        <v>33.5</v>
      </c>
      <c r="Y17" s="10">
        <v>33.67</v>
      </c>
      <c r="Z17" s="10">
        <v>33.17</v>
      </c>
      <c r="AA17" s="10">
        <v>33.479999999999997</v>
      </c>
      <c r="AB17" s="94">
        <v>5974200</v>
      </c>
      <c r="AC17" s="10">
        <v>33.36</v>
      </c>
      <c r="AD17" s="2">
        <f t="shared" si="1"/>
        <v>0.5</v>
      </c>
      <c r="AE17" s="137">
        <f t="shared" si="2"/>
        <v>-2.9967036260103441E-4</v>
      </c>
    </row>
    <row r="18" spans="1:31" x14ac:dyDescent="0.25">
      <c r="B18" s="501"/>
      <c r="C18" s="4"/>
      <c r="D18" s="3"/>
      <c r="E18" s="3"/>
      <c r="F18" s="3"/>
      <c r="G18" s="73"/>
      <c r="H18" s="184"/>
      <c r="I18" s="3"/>
      <c r="J18" s="3"/>
      <c r="K18" s="3"/>
      <c r="W18" s="132">
        <v>42775</v>
      </c>
      <c r="X18" s="10">
        <v>32.840000000000003</v>
      </c>
      <c r="Y18" s="10">
        <v>33.72</v>
      </c>
      <c r="Z18" s="10">
        <v>32.47</v>
      </c>
      <c r="AA18" s="10">
        <v>33.49</v>
      </c>
      <c r="AB18" s="94">
        <v>9795300</v>
      </c>
      <c r="AC18" s="10">
        <v>33.369999999999997</v>
      </c>
      <c r="AD18" s="2">
        <f t="shared" si="1"/>
        <v>1.25</v>
      </c>
      <c r="AE18" s="137">
        <f t="shared" si="2"/>
        <v>1.9865525672371653E-2</v>
      </c>
    </row>
    <row r="19" spans="1:31" x14ac:dyDescent="0.25">
      <c r="B19" s="501"/>
      <c r="C19" s="4"/>
      <c r="D19" s="3"/>
      <c r="E19" s="3"/>
      <c r="F19" s="3"/>
      <c r="G19" s="73"/>
      <c r="H19" s="184"/>
      <c r="I19" s="3"/>
      <c r="J19" s="3"/>
      <c r="K19" s="3"/>
      <c r="W19" s="132">
        <v>42774</v>
      </c>
      <c r="X19" s="10">
        <v>33.06</v>
      </c>
      <c r="Y19" s="10">
        <v>33.119999999999997</v>
      </c>
      <c r="Z19" s="10">
        <v>32.44</v>
      </c>
      <c r="AA19" s="10">
        <v>32.840000000000003</v>
      </c>
      <c r="AB19" s="94">
        <v>9268400</v>
      </c>
      <c r="AC19" s="10">
        <v>32.72</v>
      </c>
      <c r="AD19" s="2">
        <f t="shared" si="1"/>
        <v>0.67999999999999972</v>
      </c>
      <c r="AE19" s="137">
        <f t="shared" si="2"/>
        <v>-7.2815533980583602E-3</v>
      </c>
    </row>
    <row r="20" spans="1:31" x14ac:dyDescent="0.25">
      <c r="B20" s="501"/>
      <c r="C20" s="4"/>
      <c r="D20" s="3"/>
      <c r="E20" s="3"/>
      <c r="F20" s="3"/>
      <c r="G20" s="4"/>
      <c r="H20" s="4"/>
      <c r="I20" s="3"/>
      <c r="J20" s="3"/>
      <c r="K20" s="3"/>
      <c r="W20" s="132">
        <v>42773</v>
      </c>
      <c r="X20" s="10">
        <v>33.65</v>
      </c>
      <c r="Y20" s="10">
        <v>33.74</v>
      </c>
      <c r="Z20" s="10">
        <v>33.07</v>
      </c>
      <c r="AA20" s="10">
        <v>33.08</v>
      </c>
      <c r="AB20" s="94">
        <v>7939900</v>
      </c>
      <c r="AC20" s="10">
        <v>32.96</v>
      </c>
      <c r="AD20" s="2">
        <f t="shared" si="1"/>
        <v>0.67000000000000171</v>
      </c>
      <c r="AE20" s="137">
        <f t="shared" si="2"/>
        <v>-1.8170985999404254E-2</v>
      </c>
    </row>
    <row r="21" spans="1:31" x14ac:dyDescent="0.25">
      <c r="B21" s="501"/>
      <c r="C21" s="4"/>
      <c r="D21" s="3"/>
      <c r="E21" s="3"/>
      <c r="F21" s="3"/>
      <c r="G21" s="4"/>
      <c r="H21" s="4"/>
      <c r="I21" s="3"/>
      <c r="J21" s="3"/>
      <c r="K21" s="3"/>
      <c r="W21" s="132">
        <v>42772</v>
      </c>
      <c r="X21" s="10">
        <v>33.96</v>
      </c>
      <c r="Y21" s="10">
        <v>34.090000000000003</v>
      </c>
      <c r="Z21" s="10">
        <v>33.64</v>
      </c>
      <c r="AA21" s="10">
        <v>33.69</v>
      </c>
      <c r="AB21" s="94">
        <v>4320100</v>
      </c>
      <c r="AC21" s="10">
        <v>33.57</v>
      </c>
      <c r="AD21" s="2">
        <f t="shared" si="1"/>
        <v>0.45000000000000284</v>
      </c>
      <c r="AE21" s="137">
        <f t="shared" si="2"/>
        <v>-9.7345132743362761E-3</v>
      </c>
    </row>
    <row r="22" spans="1:31" x14ac:dyDescent="0.25">
      <c r="B22" s="501"/>
      <c r="C22" s="4"/>
      <c r="D22" s="3"/>
      <c r="E22" s="3"/>
      <c r="F22" s="3"/>
      <c r="G22" s="4"/>
      <c r="H22" s="4"/>
      <c r="I22" s="3"/>
      <c r="J22" s="3"/>
      <c r="K22" s="3"/>
      <c r="W22" s="132">
        <v>42769</v>
      </c>
      <c r="X22" s="10">
        <v>34.04</v>
      </c>
      <c r="Y22" s="10">
        <v>34.32</v>
      </c>
      <c r="Z22" s="10">
        <v>33.96</v>
      </c>
      <c r="AA22" s="10">
        <v>34.020000000000003</v>
      </c>
      <c r="AB22" s="94">
        <v>3944000</v>
      </c>
      <c r="AC22" s="10">
        <v>33.9</v>
      </c>
      <c r="AD22" s="2">
        <f t="shared" si="1"/>
        <v>0.35999999999999943</v>
      </c>
      <c r="AE22" s="137">
        <f t="shared" si="2"/>
        <v>-2.3543260741611949E-3</v>
      </c>
    </row>
    <row r="23" spans="1:31" x14ac:dyDescent="0.25">
      <c r="B23" s="501"/>
      <c r="C23" s="4"/>
      <c r="D23" s="3"/>
      <c r="E23" s="3"/>
      <c r="F23" s="3"/>
      <c r="G23" s="4"/>
      <c r="H23" s="4"/>
      <c r="I23" s="3"/>
      <c r="J23" s="3"/>
      <c r="K23" s="3"/>
      <c r="W23" s="132">
        <v>42768</v>
      </c>
      <c r="X23" s="10">
        <v>33.71</v>
      </c>
      <c r="Y23" s="10">
        <v>34.159999999999997</v>
      </c>
      <c r="Z23" s="10">
        <v>33.71</v>
      </c>
      <c r="AA23" s="10">
        <v>34.1</v>
      </c>
      <c r="AB23" s="94">
        <v>6391800</v>
      </c>
      <c r="AC23" s="10">
        <v>33.979999999999997</v>
      </c>
      <c r="AD23" s="2">
        <f t="shared" si="1"/>
        <v>0.44999999999999574</v>
      </c>
      <c r="AE23" s="137">
        <f t="shared" si="2"/>
        <v>1.9807923169267605E-2</v>
      </c>
    </row>
    <row r="24" spans="1:31" x14ac:dyDescent="0.25">
      <c r="B24" s="501"/>
      <c r="C24" s="4"/>
      <c r="D24" s="3"/>
      <c r="E24" s="3"/>
      <c r="F24" s="3"/>
      <c r="G24" s="4"/>
      <c r="H24" s="4"/>
      <c r="I24" s="3"/>
      <c r="J24" s="3"/>
      <c r="K24" s="3"/>
      <c r="W24" s="132">
        <v>42767</v>
      </c>
      <c r="X24" s="10">
        <v>33.81</v>
      </c>
      <c r="Y24" s="10">
        <v>33.9</v>
      </c>
      <c r="Z24" s="10">
        <v>33.28</v>
      </c>
      <c r="AA24" s="10">
        <v>33.44</v>
      </c>
      <c r="AB24" s="94">
        <v>5005900</v>
      </c>
      <c r="AC24" s="10">
        <v>33.32</v>
      </c>
      <c r="AD24" s="2">
        <f t="shared" si="1"/>
        <v>0.61999999999999744</v>
      </c>
      <c r="AE24" s="137">
        <f t="shared" si="2"/>
        <v>-1.5366430260047359E-2</v>
      </c>
    </row>
    <row r="25" spans="1:31" x14ac:dyDescent="0.25">
      <c r="B25" s="501"/>
      <c r="C25" s="4"/>
      <c r="D25" s="3"/>
      <c r="E25" s="3"/>
      <c r="F25" s="3"/>
      <c r="G25" s="4"/>
      <c r="H25" s="4"/>
      <c r="I25" s="3"/>
      <c r="J25" s="3"/>
      <c r="K25" s="3"/>
      <c r="W25" s="132">
        <v>42766</v>
      </c>
      <c r="X25" s="10">
        <v>33.619999999999997</v>
      </c>
      <c r="Y25" s="10">
        <v>33.97</v>
      </c>
      <c r="Z25" s="10">
        <v>33.42</v>
      </c>
      <c r="AA25" s="10">
        <v>33.96</v>
      </c>
      <c r="AB25" s="94">
        <v>5847400</v>
      </c>
      <c r="AC25" s="10">
        <v>33.840000000000003</v>
      </c>
      <c r="AD25" s="2">
        <f t="shared" si="1"/>
        <v>0.54999999999999716</v>
      </c>
      <c r="AE25" s="137">
        <f t="shared" si="2"/>
        <v>1.0752688172043223E-2</v>
      </c>
    </row>
    <row r="26" spans="1:31" x14ac:dyDescent="0.25">
      <c r="B26" s="30"/>
      <c r="W26" s="132">
        <v>42765</v>
      </c>
      <c r="X26" s="10">
        <v>33.24</v>
      </c>
      <c r="Y26" s="10">
        <v>33.619999999999997</v>
      </c>
      <c r="Z26" s="10">
        <v>33.1</v>
      </c>
      <c r="AA26" s="10">
        <v>33.6</v>
      </c>
      <c r="AB26" s="94">
        <v>4091300</v>
      </c>
      <c r="AC26" s="10">
        <v>33.479999999999997</v>
      </c>
      <c r="AD26" s="2">
        <f t="shared" si="1"/>
        <v>0.51999999999999602</v>
      </c>
      <c r="AE26" s="137">
        <f t="shared" si="2"/>
        <v>7.2202166064980755E-3</v>
      </c>
    </row>
    <row r="27" spans="1:31" x14ac:dyDescent="0.25">
      <c r="B27" s="30"/>
      <c r="W27" s="132">
        <v>42762</v>
      </c>
      <c r="X27" s="10">
        <v>33.74</v>
      </c>
      <c r="Y27" s="10">
        <v>33.74</v>
      </c>
      <c r="Z27" s="10">
        <v>32.99</v>
      </c>
      <c r="AA27" s="10">
        <v>33.36</v>
      </c>
      <c r="AB27" s="94">
        <v>5338700</v>
      </c>
      <c r="AC27" s="10">
        <v>33.24</v>
      </c>
      <c r="AD27" s="2">
        <f t="shared" si="1"/>
        <v>0.75</v>
      </c>
      <c r="AE27" s="137">
        <f t="shared" si="2"/>
        <v>-1.1302795954788669E-2</v>
      </c>
    </row>
    <row r="28" spans="1:31" x14ac:dyDescent="0.25">
      <c r="A28" s="32" t="s">
        <v>81</v>
      </c>
      <c r="B28" s="14"/>
      <c r="C28" s="14">
        <f>SUM(C2:C25)</f>
        <v>1700</v>
      </c>
      <c r="D28" s="18"/>
      <c r="E28" s="18"/>
      <c r="F28" s="18">
        <f>SUM(F2:F25)</f>
        <v>54844.5</v>
      </c>
      <c r="G28" s="14"/>
      <c r="H28" s="14">
        <f>SUM(H2:H27)</f>
        <v>200</v>
      </c>
      <c r="I28" s="18"/>
      <c r="J28" s="18"/>
      <c r="K28" s="18">
        <f>SUM(K2:K27)</f>
        <v>6839.8500000000013</v>
      </c>
      <c r="L28" s="14"/>
      <c r="M28" s="18">
        <f>SUM(M2:M27)</f>
        <v>72</v>
      </c>
      <c r="W28" s="132">
        <v>42761</v>
      </c>
      <c r="X28" s="10">
        <v>33.619999999999997</v>
      </c>
      <c r="Y28" s="10">
        <v>34.03</v>
      </c>
      <c r="Z28" s="10">
        <v>33.57</v>
      </c>
      <c r="AA28" s="10">
        <v>33.74</v>
      </c>
      <c r="AB28" s="94">
        <v>5547300</v>
      </c>
      <c r="AC28" s="10">
        <v>33.619999999999997</v>
      </c>
      <c r="AD28" s="2">
        <f t="shared" si="1"/>
        <v>0.46000000000000085</v>
      </c>
      <c r="AE28" s="137">
        <f t="shared" si="2"/>
        <v>8.0959520239878291E-3</v>
      </c>
    </row>
    <row r="29" spans="1:31" ht="15.75" thickBot="1" x14ac:dyDescent="0.3">
      <c r="A29" s="353" t="s">
        <v>197</v>
      </c>
      <c r="B29" s="354"/>
      <c r="C29" s="355">
        <f>SumByColor($A$29,C2:C27)</f>
        <v>200</v>
      </c>
      <c r="D29" s="355"/>
      <c r="E29" s="355"/>
      <c r="F29" s="356">
        <f>SumByColor($A$29,F2:F27)</f>
        <v>6805</v>
      </c>
      <c r="G29" s="355"/>
      <c r="H29" s="355">
        <f>SumByColor($A$29,H2:H27)</f>
        <v>200</v>
      </c>
      <c r="I29" s="355"/>
      <c r="J29" s="355"/>
      <c r="K29" s="356">
        <f>SumByColor($A$29,K2:K27)</f>
        <v>6840</v>
      </c>
      <c r="L29" s="355"/>
      <c r="M29" s="356">
        <f>SumByColor($A$29,M2:M27)</f>
        <v>72</v>
      </c>
      <c r="W29" s="132">
        <v>42760</v>
      </c>
      <c r="X29" s="10">
        <v>33.57</v>
      </c>
      <c r="Y29" s="10">
        <v>33.94</v>
      </c>
      <c r="Z29" s="10">
        <v>33.22</v>
      </c>
      <c r="AA29" s="10">
        <v>33.47</v>
      </c>
      <c r="AB29" s="94">
        <v>6571700</v>
      </c>
      <c r="AC29" s="10">
        <v>33.35</v>
      </c>
      <c r="AD29" s="2">
        <f t="shared" si="1"/>
        <v>0.71999999999999886</v>
      </c>
      <c r="AE29" s="137">
        <f t="shared" si="2"/>
        <v>2.4045686804929911E-3</v>
      </c>
    </row>
    <row r="30" spans="1:31" x14ac:dyDescent="0.25">
      <c r="W30" s="132">
        <v>42759</v>
      </c>
      <c r="X30" s="10">
        <v>33.450000000000003</v>
      </c>
      <c r="Y30" s="10">
        <v>33.64</v>
      </c>
      <c r="Z30" s="10">
        <v>33.29</v>
      </c>
      <c r="AA30" s="10">
        <v>33.39</v>
      </c>
      <c r="AB30" s="94">
        <v>6923700</v>
      </c>
      <c r="AC30" s="10">
        <v>33.270000000000003</v>
      </c>
      <c r="AD30" s="2">
        <f t="shared" si="1"/>
        <v>0.35000000000000142</v>
      </c>
      <c r="AE30" s="137">
        <f t="shared" si="2"/>
        <v>-4.1903621670156266E-3</v>
      </c>
    </row>
    <row r="31" spans="1:31" x14ac:dyDescent="0.25">
      <c r="W31" s="132">
        <v>42758</v>
      </c>
      <c r="X31" s="10">
        <v>34.08</v>
      </c>
      <c r="Y31" s="10">
        <v>34.14</v>
      </c>
      <c r="Z31" s="10">
        <v>33.450000000000003</v>
      </c>
      <c r="AA31" s="10">
        <v>33.53</v>
      </c>
      <c r="AB31" s="94">
        <v>5209700</v>
      </c>
      <c r="AC31" s="10">
        <v>33.409999999999997</v>
      </c>
      <c r="AD31" s="2">
        <f t="shared" si="1"/>
        <v>0.68999999999999773</v>
      </c>
      <c r="AE31" s="137">
        <f t="shared" si="2"/>
        <v>-1.6485133941713359E-2</v>
      </c>
    </row>
    <row r="32" spans="1:31" x14ac:dyDescent="0.25">
      <c r="W32" s="132">
        <v>42755</v>
      </c>
      <c r="X32" s="10">
        <v>34.43</v>
      </c>
      <c r="Y32" s="10">
        <v>34.6</v>
      </c>
      <c r="Z32" s="10">
        <v>34.020000000000003</v>
      </c>
      <c r="AA32" s="10">
        <v>34.090000000000003</v>
      </c>
      <c r="AB32" s="94">
        <v>6841300</v>
      </c>
      <c r="AC32" s="10">
        <v>33.97</v>
      </c>
      <c r="AD32" s="2">
        <f t="shared" si="1"/>
        <v>0.57999999999999829</v>
      </c>
      <c r="AE32" s="137">
        <f t="shared" si="2"/>
        <v>-4.9794961921499903E-3</v>
      </c>
    </row>
    <row r="33" spans="1:31" x14ac:dyDescent="0.25">
      <c r="W33" s="132">
        <v>42754</v>
      </c>
      <c r="X33" s="10">
        <v>34.74</v>
      </c>
      <c r="Y33" s="10">
        <v>34.99</v>
      </c>
      <c r="Z33" s="10">
        <v>34.26</v>
      </c>
      <c r="AA33" s="10">
        <v>34.26</v>
      </c>
      <c r="AB33" s="94">
        <v>6845000</v>
      </c>
      <c r="AC33" s="10">
        <v>34.14</v>
      </c>
      <c r="AD33" s="2">
        <f t="shared" si="1"/>
        <v>0.73000000000000398</v>
      </c>
      <c r="AE33" s="137">
        <f t="shared" si="2"/>
        <v>-1.8401380103507781E-2</v>
      </c>
    </row>
    <row r="34" spans="1:31" x14ac:dyDescent="0.25">
      <c r="B34" s="190" t="s">
        <v>114</v>
      </c>
      <c r="C34" s="190" t="s">
        <v>147</v>
      </c>
      <c r="D34" s="191" t="s">
        <v>146</v>
      </c>
      <c r="E34" s="193" t="s">
        <v>148</v>
      </c>
      <c r="F34" s="193" t="s">
        <v>65</v>
      </c>
      <c r="G34" s="228" t="s">
        <v>152</v>
      </c>
      <c r="H34" s="228" t="s">
        <v>88</v>
      </c>
      <c r="I34" s="228" t="s">
        <v>155</v>
      </c>
      <c r="J34" s="228" t="s">
        <v>151</v>
      </c>
      <c r="W34" s="132">
        <v>42753</v>
      </c>
      <c r="X34" s="10">
        <v>34.89</v>
      </c>
      <c r="Y34" s="10">
        <v>34.99</v>
      </c>
      <c r="Z34" s="10">
        <v>34.340000000000003</v>
      </c>
      <c r="AA34" s="10">
        <v>34.909999999999997</v>
      </c>
      <c r="AB34" s="94">
        <v>5395900</v>
      </c>
      <c r="AC34" s="10">
        <v>34.78</v>
      </c>
      <c r="AD34" s="2">
        <f t="shared" si="1"/>
        <v>0.64999999999999858</v>
      </c>
      <c r="AE34" s="137">
        <f t="shared" si="2"/>
        <v>1.7281105990785139E-3</v>
      </c>
    </row>
    <row r="35" spans="1:31" x14ac:dyDescent="0.25">
      <c r="A35" t="s">
        <v>376</v>
      </c>
      <c r="B35" s="192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30">
        <f t="shared" ref="H35:H41" si="5">(E35-D35)/D35</f>
        <v>-4.1421408327884717E-3</v>
      </c>
      <c r="I35" s="40">
        <v>34</v>
      </c>
      <c r="J35" s="40"/>
      <c r="W35" s="132">
        <v>42752</v>
      </c>
      <c r="X35" s="10">
        <v>34.1</v>
      </c>
      <c r="Y35" s="10">
        <v>34.94</v>
      </c>
      <c r="Z35" s="10">
        <v>34</v>
      </c>
      <c r="AA35" s="10">
        <v>34.840000000000003</v>
      </c>
      <c r="AB35" s="94">
        <v>7246700</v>
      </c>
      <c r="AC35" s="10">
        <v>34.72</v>
      </c>
      <c r="AD35" s="2">
        <f t="shared" si="1"/>
        <v>0.93999999999999773</v>
      </c>
      <c r="AE35" s="137">
        <f t="shared" si="2"/>
        <v>2.1777516185991885E-2</v>
      </c>
    </row>
    <row r="36" spans="1:31" x14ac:dyDescent="0.25">
      <c r="A36" t="s">
        <v>376</v>
      </c>
      <c r="B36" s="192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30">
        <f t="shared" si="5"/>
        <v>-2.7105588256667524E-2</v>
      </c>
      <c r="I36" s="40"/>
      <c r="J36" s="40"/>
      <c r="W36" s="132">
        <v>42748</v>
      </c>
      <c r="X36" s="10">
        <v>33.729999999999997</v>
      </c>
      <c r="Y36" s="10">
        <v>34.43</v>
      </c>
      <c r="Z36" s="10">
        <v>33.6</v>
      </c>
      <c r="AA36" s="10">
        <v>34.1</v>
      </c>
      <c r="AB36" s="94">
        <v>6886900</v>
      </c>
      <c r="AC36" s="10">
        <v>33.979999999999997</v>
      </c>
      <c r="AD36" s="2">
        <f t="shared" si="1"/>
        <v>0.82999999999999829</v>
      </c>
      <c r="AE36" s="137">
        <f t="shared" si="2"/>
        <v>1.7365269461077748E-2</v>
      </c>
    </row>
    <row r="37" spans="1:31" x14ac:dyDescent="0.25">
      <c r="A37" t="s">
        <v>412</v>
      </c>
      <c r="B37" s="192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30">
        <f t="shared" si="5"/>
        <v>-2.2904340694745579E-2</v>
      </c>
      <c r="I37" s="40">
        <v>33.75</v>
      </c>
      <c r="J37" s="40"/>
      <c r="W37" s="132">
        <v>42747</v>
      </c>
      <c r="X37" s="10">
        <v>33</v>
      </c>
      <c r="Y37" s="10">
        <v>33.64</v>
      </c>
      <c r="Z37" s="10">
        <v>32.93</v>
      </c>
      <c r="AA37" s="10">
        <v>33.520000000000003</v>
      </c>
      <c r="AB37" s="94">
        <v>6169900</v>
      </c>
      <c r="AC37" s="10">
        <v>33.4</v>
      </c>
      <c r="AD37" s="2">
        <f t="shared" si="1"/>
        <v>0.71000000000000085</v>
      </c>
      <c r="AE37" s="137">
        <f t="shared" si="2"/>
        <v>1.3657056145675028E-2</v>
      </c>
    </row>
    <row r="38" spans="1:31" x14ac:dyDescent="0.25">
      <c r="A38" t="s">
        <v>442</v>
      </c>
      <c r="B38" s="192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30">
        <f t="shared" si="5"/>
        <v>-3.5733114638861192E-3</v>
      </c>
      <c r="I38" s="40"/>
      <c r="J38" s="40"/>
      <c r="W38" s="132">
        <v>42746</v>
      </c>
      <c r="X38" s="10">
        <v>32.950000000000003</v>
      </c>
      <c r="Y38" s="10">
        <v>33.28</v>
      </c>
      <c r="Z38" s="10">
        <v>32.9</v>
      </c>
      <c r="AA38" s="10">
        <v>33.07</v>
      </c>
      <c r="AB38" s="94">
        <v>4616000</v>
      </c>
      <c r="AC38" s="10">
        <v>32.950000000000003</v>
      </c>
      <c r="AD38" s="2">
        <f t="shared" si="1"/>
        <v>0.38000000000000256</v>
      </c>
      <c r="AE38" s="137">
        <f t="shared" si="2"/>
        <v>-3.6286664650739819E-3</v>
      </c>
    </row>
    <row r="39" spans="1:31" x14ac:dyDescent="0.25">
      <c r="A39" t="s">
        <v>459</v>
      </c>
      <c r="B39" s="192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30">
        <f t="shared" si="5"/>
        <v>-2.6056234358899016E-2</v>
      </c>
      <c r="I39" s="40"/>
      <c r="J39" s="40"/>
      <c r="W39" s="132">
        <v>42745</v>
      </c>
      <c r="X39" s="10">
        <v>32.840000000000003</v>
      </c>
      <c r="Y39" s="10">
        <v>33.450000000000003</v>
      </c>
      <c r="Z39" s="10">
        <v>32.82</v>
      </c>
      <c r="AA39" s="10">
        <v>33.19</v>
      </c>
      <c r="AB39" s="94">
        <v>7138500</v>
      </c>
      <c r="AC39" s="10">
        <v>33.07</v>
      </c>
      <c r="AD39" s="2">
        <f t="shared" si="1"/>
        <v>0.63000000000000256</v>
      </c>
      <c r="AE39" s="137">
        <f t="shared" si="2"/>
        <v>8.2317073170732336E-3</v>
      </c>
    </row>
    <row r="40" spans="1:31" ht="20.25" thickBot="1" x14ac:dyDescent="0.35">
      <c r="A40" t="s">
        <v>413</v>
      </c>
      <c r="B40" s="192">
        <v>42778</v>
      </c>
      <c r="C40" s="583">
        <v>600</v>
      </c>
      <c r="D40" s="669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30">
        <f t="shared" si="5"/>
        <v>-1.4279405270131208E-2</v>
      </c>
      <c r="I40" s="40"/>
      <c r="J40" s="40"/>
      <c r="O40" s="703" t="s">
        <v>78</v>
      </c>
      <c r="P40" s="703"/>
      <c r="W40" s="132">
        <v>42744</v>
      </c>
      <c r="X40" s="10">
        <v>33.17</v>
      </c>
      <c r="Y40" s="10">
        <v>33.19</v>
      </c>
      <c r="Z40" s="10">
        <v>32.799999999999997</v>
      </c>
      <c r="AA40" s="10">
        <v>32.92</v>
      </c>
      <c r="AB40" s="94">
        <v>5174100</v>
      </c>
      <c r="AC40" s="10">
        <v>32.799999999999997</v>
      </c>
      <c r="AD40" s="2">
        <f t="shared" si="1"/>
        <v>0.39000000000000057</v>
      </c>
      <c r="AE40" s="137">
        <f t="shared" si="2"/>
        <v>-5.7593210063656697E-3</v>
      </c>
    </row>
    <row r="41" spans="1:31" ht="15.75" thickTop="1" x14ac:dyDescent="0.25">
      <c r="A41" t="s">
        <v>491</v>
      </c>
      <c r="B41" s="192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30">
        <f t="shared" si="5"/>
        <v>2.7209959849797166E-3</v>
      </c>
      <c r="I41" s="44" t="s">
        <v>503</v>
      </c>
      <c r="J41" s="40"/>
      <c r="O41" s="82">
        <v>1.1000000000000001</v>
      </c>
      <c r="P41" s="82">
        <f>O41*$Q$4</f>
        <v>31.702000000000002</v>
      </c>
      <c r="Q41" s="2"/>
      <c r="W41" s="132">
        <v>42741</v>
      </c>
      <c r="X41" s="10">
        <v>33.119999999999997</v>
      </c>
      <c r="Y41" s="10">
        <v>33.18</v>
      </c>
      <c r="Z41" s="10">
        <v>32.72</v>
      </c>
      <c r="AA41" s="10">
        <v>33.11</v>
      </c>
      <c r="AB41" s="94">
        <v>9289700</v>
      </c>
      <c r="AC41" s="10">
        <v>32.99</v>
      </c>
      <c r="AD41" s="2">
        <f t="shared" si="1"/>
        <v>0.46000000000000085</v>
      </c>
      <c r="AE41" s="137">
        <f t="shared" si="2"/>
        <v>-3.0220610456331842E-3</v>
      </c>
    </row>
    <row r="42" spans="1:31" ht="20.25" thickBot="1" x14ac:dyDescent="0.35">
      <c r="A42" t="s">
        <v>378</v>
      </c>
      <c r="B42" s="192">
        <v>42788</v>
      </c>
      <c r="C42" s="583">
        <v>600</v>
      </c>
      <c r="D42" s="669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30">
        <f t="shared" ref="H42" si="8">(E42-D42)/D42</f>
        <v>-1.0774019466586158E-2</v>
      </c>
      <c r="I42" s="669">
        <v>33</v>
      </c>
      <c r="J42" s="40"/>
      <c r="O42" s="82">
        <v>1.0900000000000001</v>
      </c>
      <c r="P42" s="82">
        <f t="shared" ref="P42:P61" si="9">O42*$Q$4</f>
        <v>31.413800000000002</v>
      </c>
      <c r="Q42" s="2"/>
      <c r="T42" s="90" t="s">
        <v>113</v>
      </c>
      <c r="W42" s="132">
        <v>42740</v>
      </c>
      <c r="X42" s="10">
        <v>33.14</v>
      </c>
      <c r="Y42" s="10">
        <v>33.26</v>
      </c>
      <c r="Z42" s="10">
        <v>32.69</v>
      </c>
      <c r="AA42" s="10">
        <v>33.21</v>
      </c>
      <c r="AB42" s="94">
        <v>9937900</v>
      </c>
      <c r="AC42" s="10">
        <v>33.090000000000003</v>
      </c>
      <c r="AD42" s="2">
        <f t="shared" si="1"/>
        <v>0.57000000000000028</v>
      </c>
      <c r="AE42" s="137">
        <f t="shared" si="2"/>
        <v>-9.0579710144911285E-4</v>
      </c>
    </row>
    <row r="43" spans="1:31" ht="15.75" thickTop="1" x14ac:dyDescent="0.25">
      <c r="A43" t="s">
        <v>541</v>
      </c>
      <c r="B43" s="192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30">
        <f t="shared" ref="H43" si="12">(E43-D43)/D43</f>
        <v>-3.0653842335336072E-2</v>
      </c>
      <c r="I43" s="40"/>
      <c r="J43" s="40"/>
      <c r="O43" s="82">
        <v>1.08</v>
      </c>
      <c r="P43" s="82">
        <f t="shared" si="9"/>
        <v>31.125600000000002</v>
      </c>
      <c r="Q43" s="2"/>
      <c r="T43" s="127" t="s">
        <v>98</v>
      </c>
      <c r="U43" s="97">
        <v>30.67</v>
      </c>
      <c r="W43" s="132">
        <v>42739</v>
      </c>
      <c r="X43" s="10">
        <v>33.78</v>
      </c>
      <c r="Y43" s="10">
        <v>33.840000000000003</v>
      </c>
      <c r="Z43" s="10">
        <v>33.22</v>
      </c>
      <c r="AA43" s="10">
        <v>33.24</v>
      </c>
      <c r="AB43" s="94">
        <v>9158500</v>
      </c>
      <c r="AC43" s="10">
        <v>33.119999999999997</v>
      </c>
      <c r="AD43" s="2">
        <f t="shared" si="1"/>
        <v>0.62000000000000455</v>
      </c>
      <c r="AE43" s="137">
        <f t="shared" si="2"/>
        <v>-1.4285714285714457E-2</v>
      </c>
    </row>
    <row r="44" spans="1:31" x14ac:dyDescent="0.25">
      <c r="A44" t="s">
        <v>547</v>
      </c>
      <c r="B44" s="192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30">
        <f t="shared" ref="H44" si="15">(E44-D44)/D44</f>
        <v>-4.4274371470951167E-2</v>
      </c>
      <c r="I44" s="40"/>
      <c r="J44" s="40"/>
      <c r="O44" s="82">
        <v>1.07</v>
      </c>
      <c r="P44" s="82">
        <f t="shared" si="9"/>
        <v>30.837400000000002</v>
      </c>
      <c r="Q44" s="2"/>
      <c r="T44" s="92" t="s">
        <v>99</v>
      </c>
      <c r="U44" s="87">
        <v>30.68</v>
      </c>
      <c r="W44" s="132">
        <v>42738</v>
      </c>
      <c r="X44" s="10">
        <v>34.5</v>
      </c>
      <c r="Y44" s="10">
        <v>34.51</v>
      </c>
      <c r="Z44" s="10">
        <v>33.42</v>
      </c>
      <c r="AA44" s="10">
        <v>33.72</v>
      </c>
      <c r="AB44" s="94">
        <v>9555700</v>
      </c>
      <c r="AC44" s="10">
        <v>33.6</v>
      </c>
      <c r="AD44" s="2">
        <f t="shared" si="1"/>
        <v>1.0899999999999963</v>
      </c>
      <c r="AE44" s="137">
        <f t="shared" si="2"/>
        <v>-2.297179412619943E-2</v>
      </c>
    </row>
    <row r="45" spans="1:31" x14ac:dyDescent="0.25">
      <c r="A45">
        <v>300</v>
      </c>
      <c r="B45" s="192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30">
        <f t="shared" ref="H45" si="18">(E45-D45)/D45</f>
        <v>-7.2758566734470329E-2</v>
      </c>
      <c r="I45" s="40"/>
      <c r="J45" s="40">
        <v>-1740</v>
      </c>
      <c r="O45" s="82">
        <v>1.06</v>
      </c>
      <c r="P45" s="82">
        <f t="shared" si="9"/>
        <v>30.549200000000003</v>
      </c>
      <c r="Q45" s="2"/>
      <c r="T45" s="92" t="s">
        <v>100</v>
      </c>
      <c r="U45" s="87" t="s">
        <v>129</v>
      </c>
      <c r="W45" s="132">
        <v>42734</v>
      </c>
      <c r="X45" s="10">
        <v>34.630000000000003</v>
      </c>
      <c r="Y45" s="10">
        <v>34.83</v>
      </c>
      <c r="Z45" s="10">
        <v>34.409999999999997</v>
      </c>
      <c r="AA45" s="10">
        <v>34.51</v>
      </c>
      <c r="AB45" s="94">
        <v>3897000</v>
      </c>
      <c r="AC45" s="10">
        <v>34.39</v>
      </c>
      <c r="AD45" s="2">
        <f t="shared" si="1"/>
        <v>0.42000000000000171</v>
      </c>
      <c r="AE45" s="137">
        <f t="shared" si="2"/>
        <v>-2.3208587177254714E-3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40"/>
      <c r="J46" s="40"/>
      <c r="O46" s="82">
        <v>1.05</v>
      </c>
      <c r="P46" s="82">
        <f t="shared" si="9"/>
        <v>30.261000000000003</v>
      </c>
      <c r="Q46" s="2"/>
      <c r="T46" s="92" t="s">
        <v>101</v>
      </c>
      <c r="U46" s="87" t="s">
        <v>129</v>
      </c>
      <c r="W46" s="132">
        <v>42733</v>
      </c>
      <c r="X46" s="10">
        <v>34.67</v>
      </c>
      <c r="Y46" s="10">
        <v>34.880000000000003</v>
      </c>
      <c r="Z46" s="10">
        <v>34.54</v>
      </c>
      <c r="AA46" s="10">
        <v>34.590000000000003</v>
      </c>
      <c r="AB46" s="94">
        <v>3358900</v>
      </c>
      <c r="AC46" s="10">
        <v>34.47</v>
      </c>
      <c r="AD46" s="2">
        <f t="shared" si="1"/>
        <v>0.34000000000000341</v>
      </c>
      <c r="AE46" s="137">
        <f t="shared" si="2"/>
        <v>-2.6041666666667407E-3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40"/>
      <c r="J47" s="40"/>
      <c r="O47" s="82">
        <v>1.04</v>
      </c>
      <c r="P47" s="82">
        <f t="shared" si="9"/>
        <v>29.972800000000003</v>
      </c>
      <c r="Q47" s="2"/>
      <c r="T47" s="92" t="s">
        <v>102</v>
      </c>
      <c r="U47" s="87">
        <v>35.549999999999997</v>
      </c>
      <c r="W47" s="132">
        <v>42732</v>
      </c>
      <c r="X47" s="10">
        <v>35.159999999999997</v>
      </c>
      <c r="Y47" s="10">
        <v>35.24</v>
      </c>
      <c r="Z47" s="10">
        <v>34.479999999999997</v>
      </c>
      <c r="AA47" s="10">
        <v>34.68</v>
      </c>
      <c r="AB47" s="94">
        <v>4948800</v>
      </c>
      <c r="AC47" s="10">
        <v>34.56</v>
      </c>
      <c r="AD47" s="2">
        <f t="shared" si="1"/>
        <v>0.76000000000000512</v>
      </c>
      <c r="AE47" s="137">
        <f t="shared" si="2"/>
        <v>-1.3698630136986245E-2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40"/>
      <c r="J48" s="40"/>
      <c r="O48" s="82">
        <v>1.03</v>
      </c>
      <c r="P48" s="82">
        <f t="shared" si="9"/>
        <v>29.6846</v>
      </c>
      <c r="Q48" s="2"/>
      <c r="T48" s="92" t="s">
        <v>103</v>
      </c>
      <c r="U48" s="87">
        <v>0.28600199999999998</v>
      </c>
      <c r="W48" s="132">
        <v>42731</v>
      </c>
      <c r="X48" s="10">
        <v>34.97</v>
      </c>
      <c r="Y48" s="10">
        <v>35.270000000000003</v>
      </c>
      <c r="Z48" s="10">
        <v>34.869999999999997</v>
      </c>
      <c r="AA48" s="10">
        <v>35.17</v>
      </c>
      <c r="AB48" s="94">
        <v>3434500</v>
      </c>
      <c r="AC48" s="10">
        <v>35.04</v>
      </c>
      <c r="AD48" s="2">
        <f t="shared" si="1"/>
        <v>0.40000000000000568</v>
      </c>
      <c r="AE48" s="137">
        <f t="shared" si="2"/>
        <v>2.5751072961373023E-3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40"/>
      <c r="J49" s="40"/>
      <c r="O49" s="82">
        <v>1.02</v>
      </c>
      <c r="P49" s="82">
        <f t="shared" si="9"/>
        <v>29.3964</v>
      </c>
      <c r="Q49" s="2"/>
      <c r="T49" s="92" t="s">
        <v>104</v>
      </c>
      <c r="U49" s="87" t="s">
        <v>129</v>
      </c>
      <c r="W49" s="132">
        <v>42727</v>
      </c>
      <c r="X49" s="10">
        <v>35.06</v>
      </c>
      <c r="Y49" s="10">
        <v>35.42</v>
      </c>
      <c r="Z49" s="10">
        <v>34.96</v>
      </c>
      <c r="AA49" s="10">
        <v>35.08</v>
      </c>
      <c r="AB49" s="94">
        <v>3398400</v>
      </c>
      <c r="AC49" s="10">
        <v>34.950000000000003</v>
      </c>
      <c r="AD49" s="2">
        <f t="shared" si="1"/>
        <v>0.46000000000000085</v>
      </c>
      <c r="AE49" s="137">
        <f t="shared" si="2"/>
        <v>2.8694404591105283E-3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40"/>
      <c r="J50" s="40"/>
      <c r="O50" s="82">
        <v>1.01</v>
      </c>
      <c r="P50" s="82">
        <f t="shared" si="9"/>
        <v>29.1082</v>
      </c>
      <c r="Q50" s="2"/>
      <c r="T50" s="92"/>
      <c r="U50" s="87"/>
      <c r="W50" s="132">
        <v>42726</v>
      </c>
      <c r="X50" s="10">
        <v>35.15</v>
      </c>
      <c r="Y50" s="10">
        <v>35.46</v>
      </c>
      <c r="Z50" s="10">
        <v>34.75</v>
      </c>
      <c r="AA50" s="10">
        <v>34.979999999999997</v>
      </c>
      <c r="AB50" s="94">
        <v>6412100</v>
      </c>
      <c r="AC50" s="10">
        <v>34.85</v>
      </c>
      <c r="AD50" s="2">
        <f t="shared" si="1"/>
        <v>0.71000000000000085</v>
      </c>
      <c r="AE50" s="137">
        <f t="shared" si="2"/>
        <v>-6.5564424173317759E-3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40"/>
      <c r="J51" s="40"/>
      <c r="O51" s="82">
        <v>1</v>
      </c>
      <c r="P51" s="82">
        <f t="shared" si="9"/>
        <v>28.82</v>
      </c>
      <c r="Q51" s="2"/>
      <c r="T51" s="92" t="s">
        <v>105</v>
      </c>
      <c r="U51" s="87" t="s">
        <v>629</v>
      </c>
      <c r="W51" s="132">
        <v>42725</v>
      </c>
      <c r="X51" s="10">
        <v>35.4</v>
      </c>
      <c r="Y51" s="10">
        <v>35.58</v>
      </c>
      <c r="Z51" s="10">
        <v>35.21</v>
      </c>
      <c r="AA51" s="10">
        <v>35.21</v>
      </c>
      <c r="AB51" s="94">
        <v>6086400</v>
      </c>
      <c r="AC51" s="10">
        <v>35.08</v>
      </c>
      <c r="AD51" s="2">
        <f t="shared" si="1"/>
        <v>0.36999999999999744</v>
      </c>
      <c r="AE51" s="137">
        <f t="shared" si="2"/>
        <v>-7.9185520361991779E-3</v>
      </c>
    </row>
    <row r="52" spans="2:31" x14ac:dyDescent="0.25">
      <c r="O52" s="82">
        <v>0.99</v>
      </c>
      <c r="P52" s="82">
        <f t="shared" si="9"/>
        <v>28.5318</v>
      </c>
      <c r="Q52" s="2"/>
      <c r="T52" s="92" t="s">
        <v>106</v>
      </c>
      <c r="U52" s="87" t="s">
        <v>556</v>
      </c>
      <c r="W52" s="132">
        <v>42724</v>
      </c>
      <c r="X52" s="10">
        <v>35.880000000000003</v>
      </c>
      <c r="Y52" s="10">
        <v>35.979999999999997</v>
      </c>
      <c r="Z52" s="10">
        <v>35.479999999999997</v>
      </c>
      <c r="AA52" s="10">
        <v>35.49</v>
      </c>
      <c r="AB52" s="94">
        <v>7672200</v>
      </c>
      <c r="AC52" s="10">
        <v>35.36</v>
      </c>
      <c r="AD52" s="2">
        <f t="shared" si="1"/>
        <v>0.5</v>
      </c>
      <c r="AE52" s="137">
        <f t="shared" si="2"/>
        <v>-1.0909090909090979E-2</v>
      </c>
    </row>
    <row r="53" spans="2:31" x14ac:dyDescent="0.25">
      <c r="O53" s="82">
        <v>0.98</v>
      </c>
      <c r="P53" s="82">
        <f t="shared" si="9"/>
        <v>28.243600000000001</v>
      </c>
      <c r="Q53" s="2"/>
      <c r="T53" s="92" t="s">
        <v>107</v>
      </c>
      <c r="U53" s="89">
        <v>18797872</v>
      </c>
      <c r="W53" s="132">
        <v>42723</v>
      </c>
      <c r="X53" s="10">
        <v>36.03</v>
      </c>
      <c r="Y53" s="10">
        <v>36.44</v>
      </c>
      <c r="Z53" s="10">
        <v>35.78</v>
      </c>
      <c r="AA53" s="10">
        <v>35.880000000000003</v>
      </c>
      <c r="AB53" s="94">
        <v>8985700</v>
      </c>
      <c r="AC53" s="10">
        <v>35.75</v>
      </c>
      <c r="AD53" s="2">
        <f t="shared" si="1"/>
        <v>0.65999999999999659</v>
      </c>
      <c r="AE53" s="137">
        <f t="shared" si="2"/>
        <v>-1.6755096341805054E-3</v>
      </c>
    </row>
    <row r="54" spans="2:31" x14ac:dyDescent="0.25">
      <c r="B54" s="377">
        <v>42484</v>
      </c>
      <c r="C54" s="378">
        <v>100</v>
      </c>
      <c r="D54" s="379">
        <v>35.917999999999999</v>
      </c>
      <c r="E54" s="379">
        <v>35.58</v>
      </c>
      <c r="F54" s="379">
        <f t="shared" ref="F54:F67" si="19">C54*(E54-D54)</f>
        <v>-33.800000000000097</v>
      </c>
      <c r="G54" s="379">
        <f t="shared" ref="G54:G67" si="20">D54*C54</f>
        <v>3591.7999999999997</v>
      </c>
      <c r="H54" s="380">
        <f t="shared" ref="H54:H67" si="21">(E54-D54)/D54</f>
        <v>-9.410323514672336E-3</v>
      </c>
      <c r="I54" s="379"/>
      <c r="O54" s="82">
        <v>0.97</v>
      </c>
      <c r="P54" s="82">
        <f t="shared" si="9"/>
        <v>27.955400000000001</v>
      </c>
      <c r="T54" s="92" t="s">
        <v>110</v>
      </c>
      <c r="U54" s="89">
        <v>7823960</v>
      </c>
      <c r="W54" s="132">
        <v>42720</v>
      </c>
      <c r="X54" s="10">
        <v>36.020000000000003</v>
      </c>
      <c r="Y54" s="10">
        <v>36.090000000000003</v>
      </c>
      <c r="Z54" s="10">
        <v>35.659999999999997</v>
      </c>
      <c r="AA54" s="10">
        <v>35.94</v>
      </c>
      <c r="AB54" s="94">
        <v>10860900</v>
      </c>
      <c r="AC54" s="10">
        <v>35.81</v>
      </c>
      <c r="AD54" s="2">
        <f t="shared" si="1"/>
        <v>0.43000000000000682</v>
      </c>
      <c r="AE54" s="137">
        <f t="shared" si="2"/>
        <v>-5.5819145967050954E-4</v>
      </c>
    </row>
    <row r="55" spans="2:31" x14ac:dyDescent="0.25">
      <c r="B55" s="377">
        <v>42485</v>
      </c>
      <c r="C55" s="378">
        <v>100</v>
      </c>
      <c r="D55" s="379">
        <v>35.917999999999999</v>
      </c>
      <c r="E55" s="379">
        <v>36.770000000000003</v>
      </c>
      <c r="F55" s="379">
        <f t="shared" si="19"/>
        <v>85.200000000000387</v>
      </c>
      <c r="G55" s="379">
        <f t="shared" si="20"/>
        <v>3591.7999999999997</v>
      </c>
      <c r="H55" s="380">
        <f t="shared" si="21"/>
        <v>2.3720697143493622E-2</v>
      </c>
      <c r="I55" s="379"/>
      <c r="O55" s="82">
        <v>0.96</v>
      </c>
      <c r="P55" s="82">
        <f t="shared" si="9"/>
        <v>27.667199999999998</v>
      </c>
      <c r="T55" s="92" t="s">
        <v>108</v>
      </c>
      <c r="U55" s="87" t="s">
        <v>630</v>
      </c>
      <c r="W55" s="132">
        <v>42719</v>
      </c>
      <c r="X55" s="10">
        <v>34.770000000000003</v>
      </c>
      <c r="Y55" s="10">
        <v>36.049999999999997</v>
      </c>
      <c r="Z55" s="10">
        <v>34.6</v>
      </c>
      <c r="AA55" s="10">
        <v>35.96</v>
      </c>
      <c r="AB55" s="94">
        <v>12898500</v>
      </c>
      <c r="AC55" s="10">
        <v>35.83</v>
      </c>
      <c r="AD55" s="2">
        <f t="shared" si="1"/>
        <v>1.4499999999999957</v>
      </c>
      <c r="AE55" s="137">
        <f t="shared" si="2"/>
        <v>3.554913294797668E-2</v>
      </c>
    </row>
    <row r="56" spans="2:31" x14ac:dyDescent="0.25">
      <c r="B56" s="377">
        <v>42498</v>
      </c>
      <c r="C56" s="378">
        <v>100</v>
      </c>
      <c r="D56" s="379">
        <v>35.917999999999999</v>
      </c>
      <c r="E56" s="379">
        <v>34.549999999999997</v>
      </c>
      <c r="F56" s="379">
        <f t="shared" si="19"/>
        <v>-136.80000000000021</v>
      </c>
      <c r="G56" s="379">
        <f t="shared" si="20"/>
        <v>3591.7999999999997</v>
      </c>
      <c r="H56" s="380">
        <f t="shared" si="21"/>
        <v>-3.8086753159975562E-2</v>
      </c>
      <c r="I56" s="379"/>
      <c r="O56" s="82">
        <v>0.95</v>
      </c>
      <c r="P56" s="82">
        <f t="shared" si="9"/>
        <v>27.378999999999998</v>
      </c>
      <c r="T56" s="92" t="s">
        <v>111</v>
      </c>
      <c r="U56" s="87">
        <v>14.24</v>
      </c>
      <c r="W56" s="132">
        <v>42718</v>
      </c>
      <c r="X56" s="10">
        <v>34.700000000000003</v>
      </c>
      <c r="Y56" s="10">
        <v>35.380000000000003</v>
      </c>
      <c r="Z56" s="10">
        <v>34.6</v>
      </c>
      <c r="AA56" s="10">
        <v>34.72</v>
      </c>
      <c r="AB56" s="94">
        <v>10175200</v>
      </c>
      <c r="AC56" s="10">
        <v>34.6</v>
      </c>
      <c r="AD56" s="2">
        <f t="shared" si="1"/>
        <v>0.78000000000000114</v>
      </c>
      <c r="AE56" s="137">
        <f t="shared" si="2"/>
        <v>8.7463556851312685E-3</v>
      </c>
    </row>
    <row r="57" spans="2:31" x14ac:dyDescent="0.25">
      <c r="B57" s="377">
        <v>42508</v>
      </c>
      <c r="C57" s="378">
        <v>140</v>
      </c>
      <c r="D57" s="379">
        <v>35.423999999999999</v>
      </c>
      <c r="E57" s="379">
        <v>34.369999999999997</v>
      </c>
      <c r="F57" s="379">
        <f t="shared" si="19"/>
        <v>-147.56000000000029</v>
      </c>
      <c r="G57" s="379">
        <f t="shared" si="20"/>
        <v>4959.3599999999997</v>
      </c>
      <c r="H57" s="380">
        <f t="shared" si="21"/>
        <v>-2.9753839205058776E-2</v>
      </c>
      <c r="I57" s="379"/>
      <c r="O57" s="82">
        <v>0.94</v>
      </c>
      <c r="P57" s="82">
        <f t="shared" si="9"/>
        <v>27.090799999999998</v>
      </c>
      <c r="T57" s="92" t="s">
        <v>112</v>
      </c>
      <c r="U57" s="87">
        <v>2.08</v>
      </c>
      <c r="W57" s="132">
        <v>42717</v>
      </c>
      <c r="X57" s="10">
        <v>34.020000000000003</v>
      </c>
      <c r="Y57" s="10">
        <v>34.53</v>
      </c>
      <c r="Z57" s="10">
        <v>33.840000000000003</v>
      </c>
      <c r="AA57" s="10">
        <v>34.42</v>
      </c>
      <c r="AB57" s="94">
        <v>6666000</v>
      </c>
      <c r="AC57" s="10">
        <v>34.299999999999997</v>
      </c>
      <c r="AD57" s="2">
        <f t="shared" si="1"/>
        <v>0.68999999999999773</v>
      </c>
      <c r="AE57" s="137">
        <f t="shared" si="2"/>
        <v>5.8651026392959604E-3</v>
      </c>
    </row>
    <row r="58" spans="2:31" x14ac:dyDescent="0.25">
      <c r="B58" s="377">
        <v>42509</v>
      </c>
      <c r="C58" s="378">
        <v>240</v>
      </c>
      <c r="D58" s="379">
        <v>35.034999999999997</v>
      </c>
      <c r="E58" s="379">
        <v>34.83</v>
      </c>
      <c r="F58" s="379">
        <f t="shared" si="19"/>
        <v>-49.199999999999591</v>
      </c>
      <c r="G58" s="379">
        <f t="shared" si="20"/>
        <v>8408.4</v>
      </c>
      <c r="H58" s="380">
        <f t="shared" si="21"/>
        <v>-5.8512915655772315E-3</v>
      </c>
      <c r="I58" s="379"/>
      <c r="O58" s="82">
        <v>0.93</v>
      </c>
      <c r="P58" s="82">
        <f t="shared" si="9"/>
        <v>26.802600000000002</v>
      </c>
      <c r="T58" s="92" t="s">
        <v>109</v>
      </c>
      <c r="U58" s="87" t="s">
        <v>631</v>
      </c>
      <c r="W58" s="132">
        <v>42716</v>
      </c>
      <c r="X58" s="10">
        <v>34.659999999999997</v>
      </c>
      <c r="Y58" s="10">
        <v>34.880000000000003</v>
      </c>
      <c r="Z58" s="10">
        <v>34.1</v>
      </c>
      <c r="AA58" s="10">
        <v>34.22</v>
      </c>
      <c r="AB58" s="94">
        <v>10584900</v>
      </c>
      <c r="AC58" s="10">
        <v>34.1</v>
      </c>
      <c r="AD58" s="2">
        <f t="shared" si="1"/>
        <v>0.78000000000000114</v>
      </c>
      <c r="AE58" s="137">
        <f t="shared" si="2"/>
        <v>-1.6156953260242246E-2</v>
      </c>
    </row>
    <row r="59" spans="2:31" x14ac:dyDescent="0.25">
      <c r="B59" s="377">
        <v>42514</v>
      </c>
      <c r="C59" s="378">
        <v>200</v>
      </c>
      <c r="D59" s="379">
        <v>34.972000000000001</v>
      </c>
      <c r="E59" s="379">
        <v>35.520000000000003</v>
      </c>
      <c r="F59" s="379">
        <f t="shared" si="19"/>
        <v>109.60000000000036</v>
      </c>
      <c r="G59" s="379">
        <f t="shared" si="20"/>
        <v>6994.4000000000005</v>
      </c>
      <c r="H59" s="380">
        <f t="shared" si="21"/>
        <v>1.5669678600022927E-2</v>
      </c>
      <c r="I59" s="379"/>
      <c r="O59" s="82">
        <v>0.92</v>
      </c>
      <c r="P59" s="82">
        <f t="shared" si="9"/>
        <v>26.514400000000002</v>
      </c>
      <c r="W59" s="132">
        <v>42713</v>
      </c>
      <c r="X59" s="10">
        <v>34.19</v>
      </c>
      <c r="Y59" s="10">
        <v>34.799999999999997</v>
      </c>
      <c r="Z59" s="10">
        <v>33.99</v>
      </c>
      <c r="AA59" s="10">
        <v>34.78</v>
      </c>
      <c r="AB59" s="94">
        <v>6904100</v>
      </c>
      <c r="AC59" s="10">
        <v>34.659999999999997</v>
      </c>
      <c r="AD59" s="2">
        <f t="shared" si="1"/>
        <v>0.80999999999999517</v>
      </c>
      <c r="AE59" s="137">
        <f t="shared" si="2"/>
        <v>1.7317287936601033E-2</v>
      </c>
    </row>
    <row r="60" spans="2:31" x14ac:dyDescent="0.25">
      <c r="B60" s="377">
        <v>42515</v>
      </c>
      <c r="C60" s="378">
        <v>200</v>
      </c>
      <c r="D60" s="379">
        <v>34.972000000000001</v>
      </c>
      <c r="E60" s="379">
        <v>34.94</v>
      </c>
      <c r="F60" s="379">
        <f t="shared" si="19"/>
        <v>-6.4000000000007162</v>
      </c>
      <c r="G60" s="379">
        <f t="shared" si="20"/>
        <v>6994.4000000000005</v>
      </c>
      <c r="H60" s="380">
        <f t="shared" si="21"/>
        <v>-9.150177284685914E-4</v>
      </c>
      <c r="I60" s="379"/>
      <c r="O60" s="82">
        <v>0.91</v>
      </c>
      <c r="P60" s="82">
        <f t="shared" si="9"/>
        <v>26.226200000000002</v>
      </c>
      <c r="W60" s="132">
        <v>42712</v>
      </c>
      <c r="X60" s="10">
        <v>33.869999999999997</v>
      </c>
      <c r="Y60" s="10">
        <v>34.369999999999997</v>
      </c>
      <c r="Z60" s="10">
        <v>33.5</v>
      </c>
      <c r="AA60" s="10">
        <v>34.19</v>
      </c>
      <c r="AB60" s="94">
        <v>7239200</v>
      </c>
      <c r="AC60" s="10">
        <v>34.07</v>
      </c>
      <c r="AD60" s="2">
        <f t="shared" si="1"/>
        <v>0.86999999999999744</v>
      </c>
      <c r="AE60" s="137">
        <f t="shared" si="2"/>
        <v>1.6711429424052682E-2</v>
      </c>
    </row>
    <row r="61" spans="2:31" x14ac:dyDescent="0.25">
      <c r="B61" s="377">
        <v>42521</v>
      </c>
      <c r="C61" s="378">
        <v>160</v>
      </c>
      <c r="D61" s="379">
        <v>34.718000000000004</v>
      </c>
      <c r="E61" s="379">
        <v>35.76</v>
      </c>
      <c r="F61" s="379">
        <f t="shared" si="19"/>
        <v>166.71999999999912</v>
      </c>
      <c r="G61" s="379">
        <f t="shared" si="20"/>
        <v>5554.880000000001</v>
      </c>
      <c r="H61" s="380">
        <f t="shared" si="21"/>
        <v>3.0013249611152554E-2</v>
      </c>
      <c r="I61" s="379"/>
      <c r="O61" s="82">
        <v>0.9</v>
      </c>
      <c r="P61" s="82">
        <f t="shared" si="9"/>
        <v>25.938000000000002</v>
      </c>
      <c r="W61" s="132">
        <v>42711</v>
      </c>
      <c r="X61" s="10">
        <v>33.06</v>
      </c>
      <c r="Y61" s="10">
        <v>33.75</v>
      </c>
      <c r="Z61" s="10">
        <v>32.97</v>
      </c>
      <c r="AA61" s="10">
        <v>33.630000000000003</v>
      </c>
      <c r="AB61" s="94">
        <v>7551400</v>
      </c>
      <c r="AC61" s="10">
        <v>33.51</v>
      </c>
      <c r="AD61" s="2">
        <f t="shared" si="1"/>
        <v>0.78000000000000114</v>
      </c>
      <c r="AE61" s="137">
        <f t="shared" si="2"/>
        <v>1.6995447647951245E-2</v>
      </c>
    </row>
    <row r="62" spans="2:31" x14ac:dyDescent="0.25">
      <c r="B62" s="377">
        <v>42527</v>
      </c>
      <c r="C62" s="378">
        <v>160</v>
      </c>
      <c r="D62" s="379">
        <v>34.652000000000001</v>
      </c>
      <c r="E62" s="379">
        <v>36.020000000000003</v>
      </c>
      <c r="F62" s="379">
        <f t="shared" si="19"/>
        <v>218.88000000000034</v>
      </c>
      <c r="G62" s="379">
        <f t="shared" si="20"/>
        <v>5544.32</v>
      </c>
      <c r="H62" s="380">
        <f t="shared" si="21"/>
        <v>3.9478240794182211E-2</v>
      </c>
      <c r="I62" s="379"/>
      <c r="W62" s="132">
        <v>42710</v>
      </c>
      <c r="X62" s="10">
        <v>32.83</v>
      </c>
      <c r="Y62" s="10">
        <v>33.090000000000003</v>
      </c>
      <c r="Z62" s="10">
        <v>32.47</v>
      </c>
      <c r="AA62" s="10">
        <v>33.07</v>
      </c>
      <c r="AB62" s="94">
        <v>8558500</v>
      </c>
      <c r="AC62" s="10">
        <v>32.950000000000003</v>
      </c>
      <c r="AD62" s="2">
        <f t="shared" si="1"/>
        <v>0.62000000000000455</v>
      </c>
      <c r="AE62" s="137">
        <f t="shared" si="2"/>
        <v>4.266991770801587E-3</v>
      </c>
    </row>
    <row r="63" spans="2:31" x14ac:dyDescent="0.25">
      <c r="B63" s="377">
        <v>42498</v>
      </c>
      <c r="C63" s="378">
        <v>160</v>
      </c>
      <c r="D63" s="379">
        <v>34.652000000000001</v>
      </c>
      <c r="E63" s="379">
        <v>36.520000000000003</v>
      </c>
      <c r="F63" s="379">
        <f t="shared" si="19"/>
        <v>298.88000000000034</v>
      </c>
      <c r="G63" s="379">
        <f t="shared" si="20"/>
        <v>5544.32</v>
      </c>
      <c r="H63" s="380">
        <f t="shared" si="21"/>
        <v>5.3907422371003176E-2</v>
      </c>
      <c r="I63" s="379"/>
      <c r="W63" s="132">
        <v>42709</v>
      </c>
      <c r="X63" s="10">
        <v>33.130000000000003</v>
      </c>
      <c r="Y63" s="10">
        <v>33.22</v>
      </c>
      <c r="Z63" s="10">
        <v>32.700000000000003</v>
      </c>
      <c r="AA63" s="10">
        <v>32.93</v>
      </c>
      <c r="AB63" s="94">
        <v>10636700</v>
      </c>
      <c r="AC63" s="10">
        <v>32.81</v>
      </c>
      <c r="AD63" s="2">
        <f t="shared" si="1"/>
        <v>0.51999999999999602</v>
      </c>
      <c r="AE63" s="137">
        <f t="shared" si="2"/>
        <v>-1.1151295961422503E-2</v>
      </c>
    </row>
    <row r="64" spans="2:31" x14ac:dyDescent="0.25">
      <c r="B64" s="377">
        <v>42531</v>
      </c>
      <c r="C64" s="378">
        <v>60</v>
      </c>
      <c r="D64" s="379">
        <v>30.757000000000001</v>
      </c>
      <c r="E64" s="379">
        <v>36.81</v>
      </c>
      <c r="F64" s="379">
        <f t="shared" si="19"/>
        <v>363.18000000000006</v>
      </c>
      <c r="G64" s="379">
        <f t="shared" si="20"/>
        <v>1845.42</v>
      </c>
      <c r="H64" s="380">
        <f t="shared" si="21"/>
        <v>0.1968007282894951</v>
      </c>
      <c r="I64" s="379"/>
      <c r="W64" s="132">
        <v>42706</v>
      </c>
      <c r="X64" s="10">
        <v>33.299999999999997</v>
      </c>
      <c r="Y64" s="10">
        <v>33.83</v>
      </c>
      <c r="Z64" s="10">
        <v>32.869999999999997</v>
      </c>
      <c r="AA64" s="10">
        <v>33.299999999999997</v>
      </c>
      <c r="AB64" s="94">
        <v>16221700</v>
      </c>
      <c r="AC64" s="10">
        <v>33.18</v>
      </c>
      <c r="AD64" s="2">
        <f t="shared" si="1"/>
        <v>0.96000000000000085</v>
      </c>
      <c r="AE64" s="137">
        <f t="shared" si="2"/>
        <v>-1.8050541516245744E-3</v>
      </c>
    </row>
    <row r="65" spans="2:31" x14ac:dyDescent="0.25">
      <c r="B65" s="377">
        <v>42536</v>
      </c>
      <c r="C65" s="378">
        <v>160</v>
      </c>
      <c r="D65" s="379">
        <v>33.652999999999999</v>
      </c>
      <c r="E65" s="379">
        <v>35.71</v>
      </c>
      <c r="F65" s="379">
        <f t="shared" si="19"/>
        <v>329.12000000000035</v>
      </c>
      <c r="G65" s="379">
        <f t="shared" si="20"/>
        <v>5384.48</v>
      </c>
      <c r="H65" s="380">
        <f t="shared" si="21"/>
        <v>6.1123822541823976E-2</v>
      </c>
      <c r="I65" s="379"/>
      <c r="W65" s="132">
        <v>42705</v>
      </c>
      <c r="X65" s="10">
        <v>31.16</v>
      </c>
      <c r="Y65" s="10">
        <v>33.4</v>
      </c>
      <c r="Z65" s="10">
        <v>31.09</v>
      </c>
      <c r="AA65" s="10">
        <v>33.36</v>
      </c>
      <c r="AB65" s="94">
        <v>18821000</v>
      </c>
      <c r="AC65" s="10">
        <v>33.24</v>
      </c>
      <c r="AD65" s="2">
        <f t="shared" si="1"/>
        <v>2.3099999999999987</v>
      </c>
      <c r="AE65" s="137">
        <f t="shared" si="2"/>
        <v>3.2939714108141782E-2</v>
      </c>
    </row>
    <row r="66" spans="2:31" x14ac:dyDescent="0.25">
      <c r="B66" s="377">
        <v>42542</v>
      </c>
      <c r="C66" s="378">
        <v>160</v>
      </c>
      <c r="D66" s="379">
        <v>33.65</v>
      </c>
      <c r="E66" s="379">
        <v>34.71</v>
      </c>
      <c r="F66" s="379">
        <f t="shared" si="19"/>
        <v>169.60000000000036</v>
      </c>
      <c r="G66" s="379">
        <f t="shared" si="20"/>
        <v>5384</v>
      </c>
      <c r="H66" s="380">
        <f t="shared" si="21"/>
        <v>3.1500742942050589E-2</v>
      </c>
      <c r="I66" s="379"/>
      <c r="W66" s="132">
        <v>42704</v>
      </c>
      <c r="X66" s="10">
        <v>32.81</v>
      </c>
      <c r="Y66" s="10">
        <v>32.81</v>
      </c>
      <c r="Z66" s="10">
        <v>31.95</v>
      </c>
      <c r="AA66" s="10">
        <v>32.299999999999997</v>
      </c>
      <c r="AB66" s="94">
        <v>13713000</v>
      </c>
      <c r="AC66" s="10">
        <v>32.18</v>
      </c>
      <c r="AD66" s="2">
        <f t="shared" si="1"/>
        <v>0.86000000000000298</v>
      </c>
      <c r="AE66" s="137">
        <f t="shared" si="2"/>
        <v>-2.4257125530624535E-2</v>
      </c>
    </row>
    <row r="67" spans="2:31" x14ac:dyDescent="0.25">
      <c r="B67" s="377">
        <v>42548</v>
      </c>
      <c r="C67" s="378">
        <v>160</v>
      </c>
      <c r="D67" s="379">
        <v>33.652999999999999</v>
      </c>
      <c r="E67" s="379">
        <v>36.619999999999997</v>
      </c>
      <c r="F67" s="379">
        <f t="shared" si="19"/>
        <v>474.7199999999998</v>
      </c>
      <c r="G67" s="379">
        <f t="shared" si="20"/>
        <v>5384.48</v>
      </c>
      <c r="H67" s="380">
        <f t="shared" si="21"/>
        <v>8.8164502421775148E-2</v>
      </c>
      <c r="I67" s="379"/>
      <c r="W67" s="132">
        <v>42703</v>
      </c>
      <c r="X67" s="10">
        <v>33.71</v>
      </c>
      <c r="Y67" s="10">
        <v>33.75</v>
      </c>
      <c r="Z67" s="10">
        <v>33.07</v>
      </c>
      <c r="AA67" s="10">
        <v>33.1</v>
      </c>
      <c r="AB67" s="94">
        <v>8261900</v>
      </c>
      <c r="AC67" s="10">
        <v>32.979999999999997</v>
      </c>
      <c r="AD67" s="2">
        <f>Y67-Z67</f>
        <v>0.67999999999999972</v>
      </c>
      <c r="AE67" s="137" t="e">
        <f>AC67/#REF!-1</f>
        <v>#REF!</v>
      </c>
    </row>
    <row r="68" spans="2:31" x14ac:dyDescent="0.25">
      <c r="B68" s="377">
        <v>42556</v>
      </c>
      <c r="C68" s="378">
        <v>160</v>
      </c>
      <c r="D68" s="379">
        <v>33.652999999999999</v>
      </c>
      <c r="E68" s="379">
        <v>37.33</v>
      </c>
      <c r="F68" s="379">
        <f t="shared" ref="F68:F110" si="22">C68*(E68-D68)</f>
        <v>588.31999999999994</v>
      </c>
      <c r="G68" s="379">
        <f t="shared" ref="G68:G81" si="23">D68*C68</f>
        <v>5384.48</v>
      </c>
      <c r="H68" s="380">
        <f t="shared" ref="H68:H110" si="24">(E68-D68)/D68</f>
        <v>0.10926217573470418</v>
      </c>
      <c r="I68" s="379"/>
      <c r="W68" s="132">
        <v>42702</v>
      </c>
      <c r="X68" s="10">
        <v>33.880000000000003</v>
      </c>
      <c r="Y68" s="10">
        <v>34.1</v>
      </c>
      <c r="Z68" s="10">
        <v>33.369999999999997</v>
      </c>
      <c r="AA68" s="10">
        <v>33.659999999999997</v>
      </c>
      <c r="AB68" s="94">
        <v>4940700</v>
      </c>
      <c r="AC68" s="10">
        <v>33.54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42559</v>
      </c>
      <c r="C69" s="378">
        <v>160</v>
      </c>
      <c r="D69" s="379">
        <v>33.652999999999999</v>
      </c>
      <c r="E69" s="379">
        <v>37.86</v>
      </c>
      <c r="F69" s="379">
        <f t="shared" si="22"/>
        <v>673.12000000000012</v>
      </c>
      <c r="G69" s="379">
        <f t="shared" si="23"/>
        <v>5384.48</v>
      </c>
      <c r="H69" s="380">
        <f t="shared" si="24"/>
        <v>0.12501114313731318</v>
      </c>
      <c r="I69" s="37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42563</v>
      </c>
      <c r="C70" s="378">
        <v>160</v>
      </c>
      <c r="D70" s="379">
        <v>33.652999999999999</v>
      </c>
      <c r="E70" s="379">
        <v>37.39</v>
      </c>
      <c r="F70" s="379">
        <f t="shared" si="22"/>
        <v>597.9200000000003</v>
      </c>
      <c r="G70" s="379">
        <f t="shared" si="23"/>
        <v>5384.48</v>
      </c>
      <c r="H70" s="380">
        <f t="shared" si="24"/>
        <v>0.11104507770481092</v>
      </c>
      <c r="I70" s="379"/>
    </row>
    <row r="71" spans="2:31" x14ac:dyDescent="0.25">
      <c r="B71" s="377">
        <v>42566</v>
      </c>
      <c r="C71" s="378">
        <v>160</v>
      </c>
      <c r="D71" s="379">
        <v>33.652999999999999</v>
      </c>
      <c r="E71" s="379">
        <v>36.71</v>
      </c>
      <c r="F71" s="379">
        <f t="shared" si="22"/>
        <v>489.12000000000035</v>
      </c>
      <c r="G71" s="379">
        <f t="shared" si="23"/>
        <v>5384.48</v>
      </c>
      <c r="H71" s="380">
        <f t="shared" si="24"/>
        <v>9.0838855376935257E-2</v>
      </c>
      <c r="I71" s="379"/>
    </row>
    <row r="72" spans="2:31" x14ac:dyDescent="0.25">
      <c r="B72" s="377">
        <v>42570</v>
      </c>
      <c r="C72" s="378">
        <v>160</v>
      </c>
      <c r="D72" s="379">
        <v>33.652999999999999</v>
      </c>
      <c r="E72" s="379">
        <v>36.21</v>
      </c>
      <c r="F72" s="379">
        <f t="shared" si="22"/>
        <v>409.12000000000035</v>
      </c>
      <c r="G72" s="379">
        <f t="shared" si="23"/>
        <v>5384.48</v>
      </c>
      <c r="H72" s="380">
        <f t="shared" si="24"/>
        <v>7.5981338959379613E-2</v>
      </c>
      <c r="I72" s="379"/>
    </row>
    <row r="73" spans="2:31" x14ac:dyDescent="0.25">
      <c r="B73" s="377">
        <v>42571</v>
      </c>
      <c r="C73" s="378">
        <v>160</v>
      </c>
      <c r="D73" s="379">
        <v>33.652999999999999</v>
      </c>
      <c r="E73" s="379">
        <v>36.4</v>
      </c>
      <c r="F73" s="379">
        <f t="shared" si="22"/>
        <v>439.52</v>
      </c>
      <c r="G73" s="379">
        <f t="shared" si="23"/>
        <v>5384.48</v>
      </c>
      <c r="H73" s="380">
        <f t="shared" si="24"/>
        <v>8.16271951980507E-2</v>
      </c>
      <c r="I73" s="379"/>
    </row>
    <row r="74" spans="2:31" x14ac:dyDescent="0.25">
      <c r="B74" s="377">
        <v>42572</v>
      </c>
      <c r="C74" s="378">
        <v>160</v>
      </c>
      <c r="D74" s="379">
        <v>33.652999999999999</v>
      </c>
      <c r="E74" s="379">
        <v>35.96</v>
      </c>
      <c r="F74" s="379">
        <f t="shared" si="22"/>
        <v>369.12000000000035</v>
      </c>
      <c r="G74" s="379">
        <f t="shared" si="23"/>
        <v>5384.48</v>
      </c>
      <c r="H74" s="380">
        <f t="shared" si="24"/>
        <v>6.8552580750601791E-2</v>
      </c>
      <c r="I74" s="379"/>
    </row>
    <row r="75" spans="2:31" x14ac:dyDescent="0.25">
      <c r="B75" s="377">
        <v>42576</v>
      </c>
      <c r="C75" s="378">
        <v>160</v>
      </c>
      <c r="D75" s="379">
        <v>33.652999999999999</v>
      </c>
      <c r="E75" s="379">
        <v>35.79</v>
      </c>
      <c r="F75" s="379">
        <f t="shared" si="22"/>
        <v>341.92000000000007</v>
      </c>
      <c r="G75" s="379">
        <f t="shared" si="23"/>
        <v>5384.48</v>
      </c>
      <c r="H75" s="380">
        <f t="shared" si="24"/>
        <v>6.3501025168632833E-2</v>
      </c>
      <c r="I75" s="379"/>
    </row>
    <row r="76" spans="2:31" x14ac:dyDescent="0.25">
      <c r="B76" s="377">
        <v>42577</v>
      </c>
      <c r="C76" s="378">
        <v>160</v>
      </c>
      <c r="D76" s="379">
        <v>33.652999999999999</v>
      </c>
      <c r="E76" s="379">
        <v>36.42</v>
      </c>
      <c r="F76" s="379">
        <f t="shared" si="22"/>
        <v>442.72000000000048</v>
      </c>
      <c r="G76" s="379">
        <f t="shared" si="23"/>
        <v>5384.48</v>
      </c>
      <c r="H76" s="380">
        <f t="shared" si="24"/>
        <v>8.222149585475301E-2</v>
      </c>
      <c r="I76" s="379"/>
    </row>
    <row r="77" spans="2:31" x14ac:dyDescent="0.25">
      <c r="B77" s="377">
        <v>42579</v>
      </c>
      <c r="C77" s="378">
        <v>230</v>
      </c>
      <c r="D77" s="379">
        <v>34.006</v>
      </c>
      <c r="E77" s="379">
        <v>34.4</v>
      </c>
      <c r="F77" s="379">
        <f t="shared" si="22"/>
        <v>90.619999999999621</v>
      </c>
      <c r="G77" s="379">
        <f t="shared" si="23"/>
        <v>7821.38</v>
      </c>
      <c r="H77" s="380">
        <f t="shared" si="24"/>
        <v>1.1586190672234263E-2</v>
      </c>
      <c r="I77" s="379"/>
    </row>
    <row r="78" spans="2:31" x14ac:dyDescent="0.25">
      <c r="B78" s="377">
        <v>42580</v>
      </c>
      <c r="C78" s="378">
        <v>260</v>
      </c>
      <c r="D78" s="379">
        <v>33.991999999999997</v>
      </c>
      <c r="E78" s="379">
        <v>34.19</v>
      </c>
      <c r="F78" s="379">
        <f t="shared" si="22"/>
        <v>51.480000000000103</v>
      </c>
      <c r="G78" s="379">
        <f t="shared" si="23"/>
        <v>8837.92</v>
      </c>
      <c r="H78" s="380">
        <f t="shared" si="24"/>
        <v>5.824899976465063E-3</v>
      </c>
      <c r="I78" s="379"/>
    </row>
    <row r="79" spans="2:31" x14ac:dyDescent="0.25">
      <c r="B79" s="377">
        <v>42584</v>
      </c>
      <c r="C79" s="378">
        <v>300</v>
      </c>
      <c r="D79" s="379">
        <v>33.866</v>
      </c>
      <c r="E79" s="379">
        <v>32.61</v>
      </c>
      <c r="F79" s="379">
        <f t="shared" si="22"/>
        <v>-376.80000000000007</v>
      </c>
      <c r="G79" s="379">
        <f t="shared" si="23"/>
        <v>10159.799999999999</v>
      </c>
      <c r="H79" s="380">
        <f t="shared" si="24"/>
        <v>-3.7087344239059829E-2</v>
      </c>
      <c r="I79" s="379"/>
    </row>
    <row r="80" spans="2:31" x14ac:dyDescent="0.25">
      <c r="B80" s="377">
        <v>42586</v>
      </c>
      <c r="C80" s="378">
        <v>400</v>
      </c>
      <c r="D80" s="379">
        <v>33.520000000000003</v>
      </c>
      <c r="E80" s="379">
        <v>32.549999999999997</v>
      </c>
      <c r="F80" s="379">
        <f t="shared" si="22"/>
        <v>-388.00000000000239</v>
      </c>
      <c r="G80" s="379">
        <f t="shared" si="23"/>
        <v>13408.000000000002</v>
      </c>
      <c r="H80" s="380">
        <f t="shared" si="24"/>
        <v>-2.8937947494033587E-2</v>
      </c>
      <c r="I80" s="379"/>
    </row>
    <row r="81" spans="2:9" x14ac:dyDescent="0.25">
      <c r="B81" s="377">
        <v>42587</v>
      </c>
      <c r="C81" s="378">
        <v>400</v>
      </c>
      <c r="D81" s="379">
        <v>33.387349999999998</v>
      </c>
      <c r="E81" s="379">
        <v>32.729999999999997</v>
      </c>
      <c r="F81" s="379">
        <f t="shared" si="22"/>
        <v>-262.9400000000004</v>
      </c>
      <c r="G81" s="379">
        <f t="shared" si="23"/>
        <v>13354.939999999999</v>
      </c>
      <c r="H81" s="380">
        <f t="shared" si="24"/>
        <v>-1.9688594632398231E-2</v>
      </c>
      <c r="I81" s="379"/>
    </row>
    <row r="82" spans="2:9" x14ac:dyDescent="0.25">
      <c r="B82" s="377">
        <v>42598</v>
      </c>
      <c r="C82" s="378">
        <v>400</v>
      </c>
      <c r="D82" s="379">
        <v>33.387349999999998</v>
      </c>
      <c r="E82" s="379">
        <v>32.1</v>
      </c>
      <c r="F82" s="379">
        <f t="shared" si="22"/>
        <v>-514.93999999999858</v>
      </c>
      <c r="G82" s="379">
        <f t="shared" ref="G82:G87" si="25">D82*C82</f>
        <v>13354.939999999999</v>
      </c>
      <c r="H82" s="380">
        <f t="shared" si="24"/>
        <v>-3.8558016733882636E-2</v>
      </c>
      <c r="I82" s="379"/>
    </row>
    <row r="83" spans="2:9" x14ac:dyDescent="0.25">
      <c r="B83" s="377">
        <v>42599</v>
      </c>
      <c r="C83" s="378">
        <v>500</v>
      </c>
      <c r="D83" s="379">
        <v>33.045879999999997</v>
      </c>
      <c r="E83" s="379">
        <v>31.88</v>
      </c>
      <c r="F83" s="379">
        <f t="shared" si="22"/>
        <v>-582.93999999999892</v>
      </c>
      <c r="G83" s="379">
        <f t="shared" si="25"/>
        <v>16522.939999999999</v>
      </c>
      <c r="H83" s="380">
        <f t="shared" si="24"/>
        <v>-3.5280646180401248E-2</v>
      </c>
      <c r="I83" s="379"/>
    </row>
    <row r="84" spans="2:9" x14ac:dyDescent="0.25">
      <c r="B84" s="377">
        <v>42600</v>
      </c>
      <c r="C84" s="378">
        <v>500</v>
      </c>
      <c r="D84" s="379">
        <v>33.045879999999997</v>
      </c>
      <c r="E84" s="379">
        <v>32.46</v>
      </c>
      <c r="F84" s="379">
        <f t="shared" si="22"/>
        <v>-292.93999999999801</v>
      </c>
      <c r="G84" s="379">
        <f t="shared" si="25"/>
        <v>16522.939999999999</v>
      </c>
      <c r="H84" s="380">
        <f t="shared" si="24"/>
        <v>-1.7729290307899079E-2</v>
      </c>
      <c r="I84" s="379"/>
    </row>
    <row r="85" spans="2:9" x14ac:dyDescent="0.25">
      <c r="B85" s="377">
        <v>42601</v>
      </c>
      <c r="C85" s="378">
        <v>500</v>
      </c>
      <c r="D85" s="379">
        <v>33.045879999999997</v>
      </c>
      <c r="E85" s="379">
        <v>32.61</v>
      </c>
      <c r="F85" s="379">
        <f t="shared" si="22"/>
        <v>-217.93999999999869</v>
      </c>
      <c r="G85" s="379">
        <f t="shared" si="25"/>
        <v>16522.939999999999</v>
      </c>
      <c r="H85" s="380">
        <f t="shared" si="24"/>
        <v>-1.3190146547769266E-2</v>
      </c>
      <c r="I85" s="379"/>
    </row>
    <row r="86" spans="2:9" x14ac:dyDescent="0.25">
      <c r="B86" s="377">
        <v>42604</v>
      </c>
      <c r="C86" s="378">
        <v>500</v>
      </c>
      <c r="D86" s="379">
        <v>33.045879999999997</v>
      </c>
      <c r="E86" s="379">
        <v>32.86</v>
      </c>
      <c r="F86" s="379">
        <f t="shared" si="22"/>
        <v>-92.93999999999869</v>
      </c>
      <c r="G86" s="379">
        <f t="shared" si="25"/>
        <v>16522.939999999999</v>
      </c>
      <c r="H86" s="380">
        <f t="shared" si="24"/>
        <v>-5.624906947552839E-3</v>
      </c>
      <c r="I86" s="379"/>
    </row>
    <row r="87" spans="2:9" x14ac:dyDescent="0.25">
      <c r="B87" s="377">
        <v>42605</v>
      </c>
      <c r="C87" s="378">
        <v>500</v>
      </c>
      <c r="D87" s="379">
        <v>33.045879999999997</v>
      </c>
      <c r="E87" s="379">
        <v>32.25</v>
      </c>
      <c r="F87" s="379">
        <f t="shared" si="22"/>
        <v>-397.93999999999841</v>
      </c>
      <c r="G87" s="379">
        <f t="shared" si="25"/>
        <v>16522.939999999999</v>
      </c>
      <c r="H87" s="380">
        <f t="shared" si="24"/>
        <v>-2.4084091572080902E-2</v>
      </c>
      <c r="I87" s="379"/>
    </row>
    <row r="88" spans="2:9" x14ac:dyDescent="0.25">
      <c r="B88" s="377">
        <v>42606</v>
      </c>
      <c r="C88" s="378">
        <v>500</v>
      </c>
      <c r="D88" s="379">
        <v>33.045879999999997</v>
      </c>
      <c r="E88" s="379">
        <v>32.99</v>
      </c>
      <c r="F88" s="379">
        <f t="shared" si="22"/>
        <v>-27.939999999997411</v>
      </c>
      <c r="G88" s="379">
        <f t="shared" ref="G88:G110" si="26">D88*C88</f>
        <v>16522.939999999999</v>
      </c>
      <c r="H88" s="380">
        <f t="shared" si="24"/>
        <v>-1.6909823554402191E-3</v>
      </c>
      <c r="I88" s="379"/>
    </row>
    <row r="89" spans="2:9" x14ac:dyDescent="0.25">
      <c r="B89" s="377">
        <v>42607</v>
      </c>
      <c r="C89" s="378">
        <v>500</v>
      </c>
      <c r="D89" s="379">
        <v>33.045879999999997</v>
      </c>
      <c r="E89" s="379">
        <v>32.76</v>
      </c>
      <c r="F89" s="379">
        <f t="shared" si="22"/>
        <v>-142.9399999999994</v>
      </c>
      <c r="G89" s="379">
        <f t="shared" si="26"/>
        <v>16522.939999999999</v>
      </c>
      <c r="H89" s="380">
        <f t="shared" si="24"/>
        <v>-8.6510027876394533E-3</v>
      </c>
      <c r="I89" s="379"/>
    </row>
    <row r="90" spans="2:9" x14ac:dyDescent="0.25">
      <c r="B90" s="377">
        <v>42611</v>
      </c>
      <c r="C90" s="378">
        <v>500</v>
      </c>
      <c r="D90" s="379">
        <v>33.045879999999997</v>
      </c>
      <c r="E90" s="379">
        <v>32.33</v>
      </c>
      <c r="F90" s="379">
        <f t="shared" si="22"/>
        <v>-357.93999999999926</v>
      </c>
      <c r="G90" s="379">
        <f t="shared" si="26"/>
        <v>16522.939999999999</v>
      </c>
      <c r="H90" s="380">
        <f t="shared" si="24"/>
        <v>-2.1663214900011697E-2</v>
      </c>
      <c r="I90" s="379"/>
    </row>
    <row r="91" spans="2:9" x14ac:dyDescent="0.25">
      <c r="B91" s="377">
        <v>42612</v>
      </c>
      <c r="C91" s="378">
        <v>500</v>
      </c>
      <c r="D91" s="379">
        <v>33.045879999999997</v>
      </c>
      <c r="E91" s="379">
        <v>32.159999999999997</v>
      </c>
      <c r="F91" s="379">
        <f t="shared" si="22"/>
        <v>-442.94000000000011</v>
      </c>
      <c r="G91" s="379">
        <f t="shared" si="26"/>
        <v>16522.939999999999</v>
      </c>
      <c r="H91" s="380">
        <f t="shared" si="24"/>
        <v>-2.6807577828158919E-2</v>
      </c>
      <c r="I91" s="379"/>
    </row>
    <row r="92" spans="2:9" x14ac:dyDescent="0.25">
      <c r="B92" s="377">
        <v>42614</v>
      </c>
      <c r="C92" s="378">
        <v>500</v>
      </c>
      <c r="D92" s="379">
        <v>33.045879999999997</v>
      </c>
      <c r="E92" s="379">
        <v>31.96</v>
      </c>
      <c r="F92" s="379">
        <f t="shared" si="22"/>
        <v>-542.93999999999801</v>
      </c>
      <c r="G92" s="379">
        <f t="shared" si="26"/>
        <v>16522.939999999999</v>
      </c>
      <c r="H92" s="380">
        <f t="shared" si="24"/>
        <v>-3.2859769508331936E-2</v>
      </c>
      <c r="I92" s="379"/>
    </row>
    <row r="93" spans="2:9" x14ac:dyDescent="0.25">
      <c r="B93" s="377">
        <v>42615</v>
      </c>
      <c r="C93" s="378">
        <v>500</v>
      </c>
      <c r="D93" s="379">
        <v>32.94988</v>
      </c>
      <c r="E93" s="379">
        <v>32.5</v>
      </c>
      <c r="F93" s="379">
        <f t="shared" si="22"/>
        <v>-224.94000000000014</v>
      </c>
      <c r="G93" s="379">
        <f t="shared" si="26"/>
        <v>16474.939999999999</v>
      </c>
      <c r="H93" s="380">
        <f t="shared" si="24"/>
        <v>-1.3653463988336233E-2</v>
      </c>
      <c r="I93" s="379" t="s">
        <v>188</v>
      </c>
    </row>
    <row r="94" spans="2:9" x14ac:dyDescent="0.25">
      <c r="B94" s="377">
        <v>42619</v>
      </c>
      <c r="C94" s="378">
        <v>500</v>
      </c>
      <c r="D94" s="379">
        <v>32.94988</v>
      </c>
      <c r="E94" s="379">
        <v>32.67</v>
      </c>
      <c r="F94" s="379">
        <f t="shared" si="22"/>
        <v>-139.93999999999929</v>
      </c>
      <c r="G94" s="379">
        <f t="shared" si="26"/>
        <v>16474.939999999999</v>
      </c>
      <c r="H94" s="380">
        <f t="shared" si="24"/>
        <v>-8.4941128768905548E-3</v>
      </c>
      <c r="I94" s="379"/>
    </row>
    <row r="95" spans="2:9" x14ac:dyDescent="0.25">
      <c r="B95" s="377">
        <v>42620</v>
      </c>
      <c r="C95" s="378">
        <v>600</v>
      </c>
      <c r="D95" s="379">
        <v>32.733229999999999</v>
      </c>
      <c r="E95" s="379">
        <v>31.32</v>
      </c>
      <c r="F95" s="379">
        <f t="shared" si="22"/>
        <v>-847.93799999999919</v>
      </c>
      <c r="G95" s="379">
        <f t="shared" si="26"/>
        <v>19639.937999999998</v>
      </c>
      <c r="H95" s="380">
        <f t="shared" si="24"/>
        <v>-4.3174168879759153E-2</v>
      </c>
      <c r="I95" s="379"/>
    </row>
    <row r="96" spans="2:9" x14ac:dyDescent="0.25">
      <c r="B96" s="377">
        <v>42620</v>
      </c>
      <c r="C96" s="378">
        <v>700</v>
      </c>
      <c r="D96" s="379">
        <v>32.511339999999997</v>
      </c>
      <c r="E96" s="379">
        <v>31.32</v>
      </c>
      <c r="F96" s="379">
        <f t="shared" si="22"/>
        <v>-833.93799999999771</v>
      </c>
      <c r="G96" s="379">
        <f t="shared" si="26"/>
        <v>22757.937999999998</v>
      </c>
      <c r="H96" s="380">
        <f t="shared" si="24"/>
        <v>-3.6643829506873504E-2</v>
      </c>
      <c r="I96" s="379"/>
    </row>
    <row r="97" spans="2:9" x14ac:dyDescent="0.25">
      <c r="B97" s="377">
        <v>42621</v>
      </c>
      <c r="C97" s="378">
        <v>700</v>
      </c>
      <c r="D97" s="379">
        <v>32.511339999999997</v>
      </c>
      <c r="E97" s="379">
        <v>31.31</v>
      </c>
      <c r="F97" s="379">
        <f t="shared" si="22"/>
        <v>-840.93799999999885</v>
      </c>
      <c r="G97" s="379">
        <f t="shared" si="26"/>
        <v>22757.937999999998</v>
      </c>
      <c r="H97" s="380">
        <f t="shared" si="24"/>
        <v>-3.6951414491066759E-2</v>
      </c>
      <c r="I97" s="379"/>
    </row>
    <row r="98" spans="2:9" x14ac:dyDescent="0.25">
      <c r="B98" s="377">
        <v>42622</v>
      </c>
      <c r="C98" s="378">
        <v>700</v>
      </c>
      <c r="D98" s="379">
        <v>32.511339999999997</v>
      </c>
      <c r="E98" s="379">
        <v>31.51</v>
      </c>
      <c r="F98" s="379">
        <f t="shared" si="22"/>
        <v>-700.9379999999968</v>
      </c>
      <c r="G98" s="379">
        <f t="shared" si="26"/>
        <v>22757.937999999998</v>
      </c>
      <c r="H98" s="380">
        <f t="shared" si="24"/>
        <v>-3.0799714807202519E-2</v>
      </c>
      <c r="I98" s="379"/>
    </row>
    <row r="99" spans="2:9" x14ac:dyDescent="0.25">
      <c r="B99" s="377">
        <v>42625</v>
      </c>
      <c r="C99" s="378">
        <v>800</v>
      </c>
      <c r="D99" s="379">
        <v>32.297429999999999</v>
      </c>
      <c r="E99" s="379">
        <v>30.89</v>
      </c>
      <c r="F99" s="379">
        <f t="shared" si="22"/>
        <v>-1125.9439999999984</v>
      </c>
      <c r="G99" s="379">
        <f t="shared" si="26"/>
        <v>25837.944</v>
      </c>
      <c r="H99" s="380">
        <f t="shared" si="24"/>
        <v>-4.3577151494716394E-2</v>
      </c>
      <c r="I99" s="379"/>
    </row>
    <row r="100" spans="2:9" x14ac:dyDescent="0.25">
      <c r="B100" s="377">
        <v>42632</v>
      </c>
      <c r="C100" s="378">
        <v>800</v>
      </c>
      <c r="D100" s="379">
        <v>32.297429999999999</v>
      </c>
      <c r="E100" s="379">
        <v>30.79</v>
      </c>
      <c r="F100" s="379">
        <f t="shared" si="22"/>
        <v>-1205.9439999999995</v>
      </c>
      <c r="G100" s="379">
        <f t="shared" si="26"/>
        <v>25837.944</v>
      </c>
      <c r="H100" s="380">
        <f t="shared" si="24"/>
        <v>-4.6673373082626063E-2</v>
      </c>
      <c r="I100" s="379"/>
    </row>
    <row r="101" spans="2:9" x14ac:dyDescent="0.25">
      <c r="B101" s="377">
        <v>42633</v>
      </c>
      <c r="C101" s="378">
        <v>800</v>
      </c>
      <c r="D101" s="379">
        <v>32.297429999999999</v>
      </c>
      <c r="E101" s="379">
        <v>31.09</v>
      </c>
      <c r="F101" s="379">
        <f t="shared" si="22"/>
        <v>-965.94399999999894</v>
      </c>
      <c r="G101" s="379">
        <f t="shared" si="26"/>
        <v>25837.944</v>
      </c>
      <c r="H101" s="380">
        <f t="shared" si="24"/>
        <v>-3.7384708318897161E-2</v>
      </c>
      <c r="I101" s="379"/>
    </row>
    <row r="102" spans="2:9" x14ac:dyDescent="0.25">
      <c r="B102" s="377">
        <v>42605</v>
      </c>
      <c r="C102" s="378">
        <v>800</v>
      </c>
      <c r="D102" s="379">
        <v>32.297429999999999</v>
      </c>
      <c r="E102" s="379">
        <v>30.45</v>
      </c>
      <c r="F102" s="379">
        <f t="shared" si="22"/>
        <v>-1477.9439999999995</v>
      </c>
      <c r="G102" s="379">
        <f t="shared" si="26"/>
        <v>25837.944</v>
      </c>
      <c r="H102" s="380">
        <f t="shared" si="24"/>
        <v>-5.7200526481518785E-2</v>
      </c>
      <c r="I102" s="379"/>
    </row>
    <row r="103" spans="2:9" x14ac:dyDescent="0.25">
      <c r="B103" s="377">
        <v>42639</v>
      </c>
      <c r="C103" s="378">
        <v>900</v>
      </c>
      <c r="D103" s="379">
        <v>32.05104</v>
      </c>
      <c r="E103" s="379">
        <v>30.08</v>
      </c>
      <c r="F103" s="379">
        <f t="shared" si="22"/>
        <v>-1773.936000000002</v>
      </c>
      <c r="G103" s="379">
        <f t="shared" si="26"/>
        <v>28845.936000000002</v>
      </c>
      <c r="H103" s="380">
        <f t="shared" si="24"/>
        <v>-6.14969124246827E-2</v>
      </c>
      <c r="I103" s="379"/>
    </row>
    <row r="104" spans="2:9" x14ac:dyDescent="0.25">
      <c r="B104" s="377">
        <v>42640</v>
      </c>
      <c r="C104" s="378">
        <v>900</v>
      </c>
      <c r="D104" s="379">
        <v>32.05104</v>
      </c>
      <c r="E104" s="379">
        <v>29.9</v>
      </c>
      <c r="F104" s="379">
        <f t="shared" si="22"/>
        <v>-1935.9360000000017</v>
      </c>
      <c r="G104" s="379">
        <f t="shared" si="26"/>
        <v>28845.936000000002</v>
      </c>
      <c r="H104" s="380">
        <f t="shared" si="24"/>
        <v>-6.7112954837034985E-2</v>
      </c>
      <c r="I104" s="379"/>
    </row>
    <row r="105" spans="2:9" x14ac:dyDescent="0.25">
      <c r="B105" s="377">
        <v>42641</v>
      </c>
      <c r="C105" s="378">
        <v>900</v>
      </c>
      <c r="D105" s="379">
        <v>32.05104</v>
      </c>
      <c r="E105" s="379">
        <v>29.84</v>
      </c>
      <c r="F105" s="379">
        <f t="shared" si="22"/>
        <v>-1989.9360000000006</v>
      </c>
      <c r="G105" s="379">
        <f t="shared" si="26"/>
        <v>28845.936000000002</v>
      </c>
      <c r="H105" s="380">
        <f t="shared" si="24"/>
        <v>-6.8984968974485708E-2</v>
      </c>
      <c r="I105" s="379"/>
    </row>
    <row r="106" spans="2:9" x14ac:dyDescent="0.25">
      <c r="B106" s="377">
        <v>42643</v>
      </c>
      <c r="C106" s="378">
        <v>900</v>
      </c>
      <c r="D106" s="379">
        <v>32.05104</v>
      </c>
      <c r="E106" s="379">
        <v>29.68</v>
      </c>
      <c r="F106" s="379">
        <f t="shared" si="22"/>
        <v>-2133.9360000000006</v>
      </c>
      <c r="G106" s="379">
        <f t="shared" si="26"/>
        <v>28845.936000000002</v>
      </c>
      <c r="H106" s="380">
        <f t="shared" si="24"/>
        <v>-7.3977006674354431E-2</v>
      </c>
      <c r="I106" s="379"/>
    </row>
    <row r="107" spans="2:9" x14ac:dyDescent="0.25">
      <c r="B107" s="377">
        <v>42646</v>
      </c>
      <c r="C107" s="378">
        <v>1000</v>
      </c>
      <c r="D107" s="379">
        <v>31.78594</v>
      </c>
      <c r="E107" s="379">
        <v>29.28</v>
      </c>
      <c r="F107" s="379">
        <f t="shared" si="22"/>
        <v>-2505.9399999999991</v>
      </c>
      <c r="G107" s="379">
        <f t="shared" si="26"/>
        <v>31785.94</v>
      </c>
      <c r="H107" s="380">
        <f t="shared" si="24"/>
        <v>-7.8838001959356835E-2</v>
      </c>
      <c r="I107" s="379"/>
    </row>
    <row r="108" spans="2:9" x14ac:dyDescent="0.25">
      <c r="B108" s="377">
        <v>42648</v>
      </c>
      <c r="C108" s="378">
        <v>1000</v>
      </c>
      <c r="D108" s="379">
        <v>31.78594</v>
      </c>
      <c r="E108" s="379">
        <v>28.84</v>
      </c>
      <c r="F108" s="379">
        <f t="shared" si="22"/>
        <v>-2945.94</v>
      </c>
      <c r="G108" s="379">
        <f t="shared" si="26"/>
        <v>31785.94</v>
      </c>
      <c r="H108" s="380">
        <f t="shared" si="24"/>
        <v>-9.2680600290568724E-2</v>
      </c>
      <c r="I108" s="379"/>
    </row>
    <row r="109" spans="2:9" x14ac:dyDescent="0.25">
      <c r="B109" s="377">
        <v>42649</v>
      </c>
      <c r="C109" s="378">
        <v>1000</v>
      </c>
      <c r="D109" s="379">
        <v>31.78594</v>
      </c>
      <c r="E109" s="379">
        <v>29.37</v>
      </c>
      <c r="F109" s="379">
        <f t="shared" si="22"/>
        <v>-2415.9399999999991</v>
      </c>
      <c r="G109" s="379">
        <f t="shared" si="26"/>
        <v>31785.94</v>
      </c>
      <c r="H109" s="380">
        <f t="shared" si="24"/>
        <v>-7.6006561391608968E-2</v>
      </c>
      <c r="I109" s="379"/>
    </row>
    <row r="110" spans="2:9" x14ac:dyDescent="0.25">
      <c r="B110" s="377">
        <v>42650</v>
      </c>
      <c r="C110" s="378">
        <v>1000</v>
      </c>
      <c r="D110" s="379">
        <v>31.78594</v>
      </c>
      <c r="E110" s="379">
        <v>29</v>
      </c>
      <c r="F110" s="379">
        <f t="shared" si="22"/>
        <v>-2785.94</v>
      </c>
      <c r="G110" s="379">
        <f t="shared" si="26"/>
        <v>31785.94</v>
      </c>
      <c r="H110" s="380">
        <f t="shared" si="24"/>
        <v>-8.7646928170128049E-2</v>
      </c>
      <c r="I110" s="379"/>
    </row>
    <row r="111" spans="2:9" x14ac:dyDescent="0.25">
      <c r="B111" s="377">
        <v>42661</v>
      </c>
      <c r="C111" s="378">
        <v>1000</v>
      </c>
      <c r="D111" s="379">
        <v>31.78594</v>
      </c>
      <c r="E111" s="379">
        <v>30.64</v>
      </c>
      <c r="F111" s="379">
        <f t="shared" ref="F111:F116" si="27">C111*(E111-D111)</f>
        <v>-1145.9399999999996</v>
      </c>
      <c r="G111" s="379">
        <f t="shared" ref="G111:G116" si="28">D111*C111</f>
        <v>31785.94</v>
      </c>
      <c r="H111" s="380">
        <f t="shared" ref="H111:H116" si="29">(E111-D111)/D111</f>
        <v>-3.6051788935611138E-2</v>
      </c>
      <c r="I111" s="379"/>
    </row>
    <row r="112" spans="2:9" x14ac:dyDescent="0.25">
      <c r="B112" s="377">
        <v>42671</v>
      </c>
      <c r="C112" s="378">
        <v>900</v>
      </c>
      <c r="D112" s="379">
        <v>31.837789999999998</v>
      </c>
      <c r="E112" s="379">
        <v>31.26</v>
      </c>
      <c r="F112" s="379">
        <f t="shared" si="27"/>
        <v>-520.01099999999701</v>
      </c>
      <c r="G112" s="379">
        <f t="shared" si="28"/>
        <v>28654.010999999999</v>
      </c>
      <c r="H112" s="380">
        <f t="shared" si="29"/>
        <v>-1.8147930493919232E-2</v>
      </c>
      <c r="I112" s="379"/>
    </row>
    <row r="113" spans="2:9" x14ac:dyDescent="0.25">
      <c r="B113" s="377">
        <v>42674</v>
      </c>
      <c r="C113" s="378">
        <v>1000</v>
      </c>
      <c r="D113" s="379">
        <v>31.763999999999999</v>
      </c>
      <c r="E113" s="379">
        <v>30.98</v>
      </c>
      <c r="F113" s="379">
        <f t="shared" si="27"/>
        <v>-783.99999999999886</v>
      </c>
      <c r="G113" s="379">
        <f t="shared" si="28"/>
        <v>31764</v>
      </c>
      <c r="H113" s="380">
        <f t="shared" si="29"/>
        <v>-2.468202997103636E-2</v>
      </c>
      <c r="I113" s="379"/>
    </row>
    <row r="114" spans="2:9" x14ac:dyDescent="0.25">
      <c r="B114" s="377">
        <v>42676</v>
      </c>
      <c r="C114" s="378">
        <v>500</v>
      </c>
      <c r="D114" s="379">
        <v>31.518719999999998</v>
      </c>
      <c r="E114" s="379">
        <v>32.22</v>
      </c>
      <c r="F114" s="379">
        <f t="shared" si="27"/>
        <v>350.64000000000027</v>
      </c>
      <c r="G114" s="379">
        <f t="shared" si="28"/>
        <v>15759.359999999999</v>
      </c>
      <c r="H114" s="380">
        <f t="shared" si="29"/>
        <v>2.2249634502923995E-2</v>
      </c>
      <c r="I114" s="379">
        <v>31</v>
      </c>
    </row>
    <row r="115" spans="2:9" x14ac:dyDescent="0.25">
      <c r="B115" s="377">
        <v>42677</v>
      </c>
      <c r="C115" s="378">
        <v>800</v>
      </c>
      <c r="D115" s="379">
        <v>31.51858</v>
      </c>
      <c r="E115" s="379">
        <v>31.02</v>
      </c>
      <c r="F115" s="379">
        <f t="shared" si="27"/>
        <v>-398.86400000000037</v>
      </c>
      <c r="G115" s="379">
        <f t="shared" si="28"/>
        <v>25214.864000000001</v>
      </c>
      <c r="H115" s="380">
        <f t="shared" si="29"/>
        <v>-1.5818606041262027E-2</v>
      </c>
      <c r="I115" s="379"/>
    </row>
    <row r="116" spans="2:9" x14ac:dyDescent="0.25">
      <c r="B116" s="377">
        <v>42701</v>
      </c>
      <c r="C116" s="378">
        <v>400</v>
      </c>
      <c r="D116" s="379">
        <v>30.677849999999999</v>
      </c>
      <c r="E116" s="379">
        <v>33.880000000000003</v>
      </c>
      <c r="F116" s="379">
        <f t="shared" si="27"/>
        <v>1280.8600000000013</v>
      </c>
      <c r="G116" s="379">
        <f t="shared" si="28"/>
        <v>12271.14</v>
      </c>
      <c r="H116" s="380">
        <f t="shared" si="29"/>
        <v>0.10437987016691207</v>
      </c>
      <c r="I116" s="379"/>
    </row>
    <row r="117" spans="2:9" x14ac:dyDescent="0.25">
      <c r="B117" s="377">
        <v>42704</v>
      </c>
      <c r="C117" s="378">
        <v>400</v>
      </c>
      <c r="D117" s="379">
        <v>30.677849999999999</v>
      </c>
      <c r="E117" s="379">
        <v>32.299999999999997</v>
      </c>
      <c r="F117" s="379">
        <f t="shared" ref="F117:F123" si="30">C117*(E117-D117)</f>
        <v>648.8599999999991</v>
      </c>
      <c r="G117" s="379">
        <f t="shared" ref="G117:G123" si="31">D117*C117</f>
        <v>12271.14</v>
      </c>
      <c r="H117" s="380">
        <f t="shared" ref="H117:H123" si="32">(E117-D117)/D117</f>
        <v>5.2876912821465581E-2</v>
      </c>
      <c r="I117" s="379"/>
    </row>
    <row r="118" spans="2:9" x14ac:dyDescent="0.25">
      <c r="B118" s="377">
        <v>42706</v>
      </c>
      <c r="C118" s="378">
        <v>400</v>
      </c>
      <c r="D118" s="379">
        <v>30.527850000000001</v>
      </c>
      <c r="E118" s="379">
        <v>33.299999999999997</v>
      </c>
      <c r="F118" s="379">
        <f t="shared" si="30"/>
        <v>1108.8599999999985</v>
      </c>
      <c r="G118" s="379">
        <f t="shared" si="31"/>
        <v>12211.14</v>
      </c>
      <c r="H118" s="380">
        <f t="shared" si="32"/>
        <v>9.0807246497869851E-2</v>
      </c>
      <c r="I118" s="379"/>
    </row>
    <row r="119" spans="2:9" x14ac:dyDescent="0.25">
      <c r="B119" s="377">
        <v>42712</v>
      </c>
      <c r="C119" s="378">
        <v>300</v>
      </c>
      <c r="D119" s="379">
        <v>29.297370000000001</v>
      </c>
      <c r="E119" s="379">
        <v>34.19</v>
      </c>
      <c r="F119" s="379">
        <f t="shared" si="30"/>
        <v>1467.7889999999991</v>
      </c>
      <c r="G119" s="379">
        <f t="shared" si="31"/>
        <v>8789.2109999999993</v>
      </c>
      <c r="H119" s="380">
        <f t="shared" si="32"/>
        <v>0.16699894905242338</v>
      </c>
      <c r="I119" s="379"/>
    </row>
    <row r="120" spans="2:9" x14ac:dyDescent="0.25">
      <c r="B120" s="377">
        <v>42713</v>
      </c>
      <c r="C120" s="378">
        <v>200</v>
      </c>
      <c r="D120" s="379">
        <v>26.551449999999999</v>
      </c>
      <c r="E120" s="379">
        <v>34.78</v>
      </c>
      <c r="F120" s="379">
        <f t="shared" si="30"/>
        <v>1645.7100000000005</v>
      </c>
      <c r="G120" s="379">
        <f t="shared" si="31"/>
        <v>5310.29</v>
      </c>
      <c r="H120" s="380">
        <f t="shared" si="32"/>
        <v>0.30990962828772073</v>
      </c>
      <c r="I120" s="379"/>
    </row>
    <row r="121" spans="2:9" x14ac:dyDescent="0.25">
      <c r="B121" s="377">
        <v>42716</v>
      </c>
      <c r="C121" s="378">
        <v>300</v>
      </c>
      <c r="D121" s="379">
        <v>29.0943</v>
      </c>
      <c r="E121" s="379">
        <v>34.22</v>
      </c>
      <c r="F121" s="379">
        <f t="shared" si="30"/>
        <v>1537.7099999999996</v>
      </c>
      <c r="G121" s="379">
        <f t="shared" si="31"/>
        <v>8728.2900000000009</v>
      </c>
      <c r="H121" s="380">
        <f t="shared" si="32"/>
        <v>0.17617540205469795</v>
      </c>
      <c r="I121" s="379"/>
    </row>
    <row r="122" spans="2:9" x14ac:dyDescent="0.25">
      <c r="B122" s="377">
        <v>42718</v>
      </c>
      <c r="C122" s="378">
        <v>100</v>
      </c>
      <c r="D122" s="379">
        <v>17.179500000000001</v>
      </c>
      <c r="E122" s="379">
        <v>34.72</v>
      </c>
      <c r="F122" s="379">
        <f t="shared" si="30"/>
        <v>1754.0499999999997</v>
      </c>
      <c r="G122" s="379">
        <f t="shared" si="31"/>
        <v>1717.95</v>
      </c>
      <c r="H122" s="380">
        <f t="shared" si="32"/>
        <v>1.021013417154166</v>
      </c>
      <c r="I122" s="379"/>
    </row>
    <row r="123" spans="2:9" x14ac:dyDescent="0.25">
      <c r="B123" s="377">
        <v>42718</v>
      </c>
      <c r="C123" s="378">
        <v>300</v>
      </c>
      <c r="D123" s="379">
        <v>28.9132</v>
      </c>
      <c r="E123" s="379">
        <v>34.72</v>
      </c>
      <c r="F123" s="379">
        <f t="shared" si="30"/>
        <v>1742.0399999999997</v>
      </c>
      <c r="G123" s="379">
        <f t="shared" si="31"/>
        <v>8673.9599999999991</v>
      </c>
      <c r="H123" s="380">
        <f t="shared" si="32"/>
        <v>0.20083560449898313</v>
      </c>
      <c r="I123" s="379"/>
    </row>
    <row r="124" spans="2:9" x14ac:dyDescent="0.25">
      <c r="B124" s="377">
        <v>42729</v>
      </c>
      <c r="C124" s="378">
        <v>300</v>
      </c>
      <c r="D124" s="379">
        <v>28.9132</v>
      </c>
      <c r="E124" s="379">
        <v>35.08</v>
      </c>
      <c r="F124" s="379">
        <f>C124*(E124-D124)</f>
        <v>1850.0399999999995</v>
      </c>
      <c r="G124" s="379">
        <f>D124*C124</f>
        <v>8673.9599999999991</v>
      </c>
      <c r="H124" s="380">
        <f>(E124-D124)/D124</f>
        <v>0.21328666491429515</v>
      </c>
      <c r="I124" s="379"/>
    </row>
    <row r="125" spans="2:9" x14ac:dyDescent="0.25">
      <c r="B125" s="377">
        <v>42745</v>
      </c>
      <c r="C125" s="378">
        <v>400</v>
      </c>
      <c r="D125" s="379">
        <v>30.12988</v>
      </c>
      <c r="E125" s="379">
        <v>33.19</v>
      </c>
      <c r="F125" s="379">
        <f>C125*(E125-D125)</f>
        <v>1224.0479999999991</v>
      </c>
      <c r="G125" s="379">
        <f>D125*C125</f>
        <v>12051.951999999999</v>
      </c>
      <c r="H125" s="380">
        <f>(E125-D125)/D125</f>
        <v>0.1015642943151449</v>
      </c>
      <c r="I125" s="379"/>
    </row>
    <row r="126" spans="2:9" x14ac:dyDescent="0.25">
      <c r="B126" s="377">
        <v>42752</v>
      </c>
      <c r="C126" s="378">
        <v>300</v>
      </c>
      <c r="D126" s="379">
        <v>28.620100000000001</v>
      </c>
      <c r="E126" s="379">
        <v>34.840000000000003</v>
      </c>
      <c r="F126" s="379">
        <f>C126*(E126-D126)</f>
        <v>1865.9700000000007</v>
      </c>
      <c r="G126" s="379">
        <f>D126*C126</f>
        <v>8586.0300000000007</v>
      </c>
      <c r="H126" s="380">
        <f>(E126-D126)/D126</f>
        <v>0.21732628467405782</v>
      </c>
      <c r="I126" s="379">
        <v>28.25</v>
      </c>
    </row>
    <row r="127" spans="2:9" x14ac:dyDescent="0.25">
      <c r="B127" s="377">
        <v>42754</v>
      </c>
      <c r="C127" s="378">
        <v>400</v>
      </c>
      <c r="D127" s="379">
        <v>30.032579999999999</v>
      </c>
      <c r="E127" s="379">
        <v>34.26</v>
      </c>
      <c r="F127" s="379">
        <f>C127*(E127-D127)</f>
        <v>1690.9679999999994</v>
      </c>
      <c r="G127" s="379">
        <f>D127*C127</f>
        <v>12013.031999999999</v>
      </c>
      <c r="H127" s="380">
        <f>(E127-D127)/D127</f>
        <v>0.14076113340911767</v>
      </c>
      <c r="I127" s="379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2" t="s">
        <v>1</v>
      </c>
      <c r="B146" s="262" t="s">
        <v>2</v>
      </c>
      <c r="C146" s="262" t="s">
        <v>4</v>
      </c>
      <c r="D146" s="263" t="s">
        <v>5</v>
      </c>
      <c r="E146" s="263" t="s">
        <v>94</v>
      </c>
      <c r="F146" s="263" t="s">
        <v>60</v>
      </c>
      <c r="G146" s="262" t="s">
        <v>3</v>
      </c>
      <c r="H146" s="262" t="s">
        <v>6</v>
      </c>
      <c r="I146" s="263" t="s">
        <v>7</v>
      </c>
      <c r="J146" s="263" t="s">
        <v>95</v>
      </c>
      <c r="K146" s="263" t="s">
        <v>61</v>
      </c>
      <c r="L146" s="262" t="s">
        <v>37</v>
      </c>
      <c r="M146" s="262" t="s">
        <v>38</v>
      </c>
    </row>
    <row r="147" spans="1:13" x14ac:dyDescent="0.25">
      <c r="A147" s="264" t="s">
        <v>199</v>
      </c>
      <c r="B147" s="265">
        <v>42482</v>
      </c>
      <c r="C147" s="260">
        <v>80</v>
      </c>
      <c r="D147" s="261">
        <v>36.01</v>
      </c>
      <c r="E147" s="261">
        <v>0</v>
      </c>
      <c r="F147" s="261">
        <f t="shared" ref="F147:F167" si="33">D147*C147+E147</f>
        <v>2880.7999999999997</v>
      </c>
      <c r="G147" s="265">
        <v>42514</v>
      </c>
      <c r="H147" s="260">
        <v>40</v>
      </c>
      <c r="I147" s="261">
        <v>35.35</v>
      </c>
      <c r="J147" s="261">
        <v>0.03</v>
      </c>
      <c r="K147" s="261">
        <f>I147*H147-J147</f>
        <v>1413.97</v>
      </c>
      <c r="L147" s="265">
        <v>42522</v>
      </c>
      <c r="M147" s="261">
        <v>10.5</v>
      </c>
    </row>
    <row r="148" spans="1:13" x14ac:dyDescent="0.25">
      <c r="A148" s="267" t="s">
        <v>71</v>
      </c>
      <c r="B148" s="265">
        <v>42482</v>
      </c>
      <c r="C148" s="260">
        <v>20</v>
      </c>
      <c r="D148" s="261">
        <v>35.549999999999997</v>
      </c>
      <c r="E148" s="261">
        <v>0</v>
      </c>
      <c r="F148" s="261">
        <f t="shared" si="33"/>
        <v>711</v>
      </c>
      <c r="G148" s="260"/>
      <c r="H148" s="260"/>
      <c r="I148" s="261"/>
      <c r="J148" s="261"/>
      <c r="K148" s="261"/>
      <c r="L148" s="265">
        <v>42614</v>
      </c>
      <c r="M148" s="261">
        <v>48</v>
      </c>
    </row>
    <row r="149" spans="1:13" x14ac:dyDescent="0.25">
      <c r="A149" s="260"/>
      <c r="B149" s="265">
        <v>42508</v>
      </c>
      <c r="C149" s="260">
        <v>40</v>
      </c>
      <c r="D149" s="261">
        <v>34.19</v>
      </c>
      <c r="E149" s="261">
        <v>0</v>
      </c>
      <c r="F149" s="261">
        <f t="shared" si="33"/>
        <v>1367.6</v>
      </c>
      <c r="G149" s="265">
        <v>42521</v>
      </c>
      <c r="H149" s="266">
        <v>40</v>
      </c>
      <c r="I149" s="261">
        <v>35.99</v>
      </c>
      <c r="J149" s="261">
        <v>0.03</v>
      </c>
      <c r="K149" s="261">
        <f t="shared" ref="K149:K164" si="34">I149*H149-J149</f>
        <v>1439.5700000000002</v>
      </c>
      <c r="L149" s="265">
        <v>42706</v>
      </c>
      <c r="M149" s="261">
        <v>60</v>
      </c>
    </row>
    <row r="150" spans="1:13" x14ac:dyDescent="0.25">
      <c r="A150" s="260"/>
      <c r="B150" s="265">
        <v>42509</v>
      </c>
      <c r="C150" s="260">
        <v>100</v>
      </c>
      <c r="D150" s="261">
        <v>34.49</v>
      </c>
      <c r="E150" s="261">
        <v>0</v>
      </c>
      <c r="F150" s="261">
        <f t="shared" si="33"/>
        <v>3449</v>
      </c>
      <c r="G150" s="265">
        <v>42531</v>
      </c>
      <c r="H150" s="266">
        <v>100</v>
      </c>
      <c r="I150" s="261">
        <v>36.99</v>
      </c>
      <c r="J150" s="261">
        <v>0.08</v>
      </c>
      <c r="K150" s="261">
        <f t="shared" si="34"/>
        <v>3698.92</v>
      </c>
      <c r="L150" s="260"/>
      <c r="M150" s="260"/>
    </row>
    <row r="151" spans="1:13" x14ac:dyDescent="0.25">
      <c r="A151" s="260"/>
      <c r="B151" s="265">
        <v>42536</v>
      </c>
      <c r="C151" s="260">
        <v>100</v>
      </c>
      <c r="D151" s="261">
        <v>35.39</v>
      </c>
      <c r="E151" s="261">
        <v>0</v>
      </c>
      <c r="F151" s="261">
        <f t="shared" si="33"/>
        <v>3539</v>
      </c>
      <c r="G151" s="265">
        <v>42594</v>
      </c>
      <c r="H151" s="266">
        <v>100</v>
      </c>
      <c r="I151" s="261">
        <v>32.58</v>
      </c>
      <c r="J151" s="261">
        <v>7.0000000000000007E-2</v>
      </c>
      <c r="K151" s="261">
        <f t="shared" si="34"/>
        <v>3257.93</v>
      </c>
      <c r="L151" s="260"/>
      <c r="M151" s="260"/>
    </row>
    <row r="152" spans="1:13" x14ac:dyDescent="0.25">
      <c r="A152" s="260"/>
      <c r="B152" s="265">
        <v>42579</v>
      </c>
      <c r="C152" s="260">
        <v>40</v>
      </c>
      <c r="D152" s="261">
        <v>35</v>
      </c>
      <c r="E152" s="261">
        <v>0</v>
      </c>
      <c r="F152" s="261">
        <f t="shared" si="33"/>
        <v>1400</v>
      </c>
      <c r="G152" s="265">
        <v>42671</v>
      </c>
      <c r="H152" s="266">
        <v>100</v>
      </c>
      <c r="I152" s="261">
        <v>31.32</v>
      </c>
      <c r="J152" s="261">
        <v>7.0000000000000007E-2</v>
      </c>
      <c r="K152" s="261">
        <f t="shared" si="34"/>
        <v>3131.93</v>
      </c>
      <c r="L152" s="260"/>
      <c r="M152" s="260"/>
    </row>
    <row r="153" spans="1:13" x14ac:dyDescent="0.25">
      <c r="A153" s="260"/>
      <c r="B153" s="265">
        <v>42579</v>
      </c>
      <c r="C153" s="260">
        <v>30</v>
      </c>
      <c r="D153" s="261">
        <v>34.57</v>
      </c>
      <c r="E153" s="261">
        <v>-7.0000000000000007E-2</v>
      </c>
      <c r="F153" s="261">
        <f t="shared" si="33"/>
        <v>1037.03</v>
      </c>
      <c r="G153" s="265">
        <v>42676</v>
      </c>
      <c r="H153" s="266">
        <v>200</v>
      </c>
      <c r="I153" s="261">
        <v>31.83</v>
      </c>
      <c r="J153" s="261">
        <v>0.14000000000000001</v>
      </c>
      <c r="K153" s="261">
        <f t="shared" si="34"/>
        <v>6365.86</v>
      </c>
      <c r="L153" s="260"/>
      <c r="M153" s="260"/>
    </row>
    <row r="154" spans="1:13" x14ac:dyDescent="0.25">
      <c r="A154" s="260"/>
      <c r="B154" s="265">
        <v>42580</v>
      </c>
      <c r="C154" s="260">
        <v>30</v>
      </c>
      <c r="D154" s="261">
        <v>33.880000000000003</v>
      </c>
      <c r="E154" s="261">
        <v>0</v>
      </c>
      <c r="F154" s="261">
        <f t="shared" si="33"/>
        <v>1016.4000000000001</v>
      </c>
      <c r="G154" s="265">
        <v>42676</v>
      </c>
      <c r="H154" s="266">
        <v>100</v>
      </c>
      <c r="I154" s="261">
        <v>31.98</v>
      </c>
      <c r="J154" s="261">
        <v>7.0000000000000007E-2</v>
      </c>
      <c r="K154" s="261">
        <f t="shared" si="34"/>
        <v>3197.93</v>
      </c>
      <c r="L154" s="260"/>
      <c r="M154" s="260"/>
    </row>
    <row r="155" spans="1:13" x14ac:dyDescent="0.25">
      <c r="A155" s="260"/>
      <c r="B155" s="265">
        <v>42584</v>
      </c>
      <c r="C155" s="260">
        <v>40</v>
      </c>
      <c r="D155" s="261">
        <v>33.049999999999997</v>
      </c>
      <c r="E155" s="261">
        <v>0</v>
      </c>
      <c r="F155" s="261">
        <f t="shared" si="33"/>
        <v>1322</v>
      </c>
      <c r="G155" s="265">
        <v>42676</v>
      </c>
      <c r="H155" s="266">
        <v>100</v>
      </c>
      <c r="I155" s="261">
        <v>32.18</v>
      </c>
      <c r="J155" s="261">
        <v>7.0000000000000007E-2</v>
      </c>
      <c r="K155" s="261">
        <f t="shared" si="34"/>
        <v>3217.93</v>
      </c>
      <c r="L155" s="260"/>
      <c r="M155" s="260"/>
    </row>
    <row r="156" spans="1:13" x14ac:dyDescent="0.25">
      <c r="A156" s="260"/>
      <c r="B156" s="265">
        <v>42586</v>
      </c>
      <c r="C156" s="260">
        <v>100</v>
      </c>
      <c r="D156" s="261">
        <v>32.479999999999997</v>
      </c>
      <c r="E156" s="261">
        <v>0</v>
      </c>
      <c r="F156" s="261">
        <f t="shared" si="33"/>
        <v>3247.9999999999995</v>
      </c>
      <c r="G156" s="265">
        <v>42676</v>
      </c>
      <c r="H156" s="266">
        <v>100</v>
      </c>
      <c r="I156" s="261">
        <v>32.229999999999997</v>
      </c>
      <c r="J156" s="261">
        <v>7.0000000000000007E-2</v>
      </c>
      <c r="K156" s="261">
        <f t="shared" si="34"/>
        <v>3222.9299999999994</v>
      </c>
      <c r="L156" s="260"/>
      <c r="M156" s="260"/>
    </row>
    <row r="157" spans="1:13" x14ac:dyDescent="0.25">
      <c r="A157" s="260"/>
      <c r="B157" s="265">
        <v>42593</v>
      </c>
      <c r="C157" s="260">
        <v>100</v>
      </c>
      <c r="D157" s="261">
        <v>32.049999999999997</v>
      </c>
      <c r="E157" s="261">
        <v>0</v>
      </c>
      <c r="F157" s="261">
        <f t="shared" si="33"/>
        <v>3204.9999999999995</v>
      </c>
      <c r="G157" s="265">
        <v>42683</v>
      </c>
      <c r="H157" s="266">
        <v>100</v>
      </c>
      <c r="I157" s="261">
        <v>32.33</v>
      </c>
      <c r="J157" s="261">
        <v>7.0000000000000007E-2</v>
      </c>
      <c r="K157" s="261">
        <f t="shared" si="34"/>
        <v>3232.93</v>
      </c>
      <c r="L157" s="260"/>
      <c r="M157" s="260"/>
    </row>
    <row r="158" spans="1:13" x14ac:dyDescent="0.25">
      <c r="A158" s="260"/>
      <c r="B158" s="265">
        <v>42599</v>
      </c>
      <c r="C158" s="260">
        <v>100</v>
      </c>
      <c r="D158" s="261">
        <v>31.68</v>
      </c>
      <c r="E158" s="261">
        <v>0</v>
      </c>
      <c r="F158" s="261">
        <f t="shared" si="33"/>
        <v>3168</v>
      </c>
      <c r="G158" s="265">
        <v>42683</v>
      </c>
      <c r="H158" s="266">
        <v>200</v>
      </c>
      <c r="I158" s="261">
        <v>32.08</v>
      </c>
      <c r="J158" s="261">
        <v>0.14000000000000001</v>
      </c>
      <c r="K158" s="261">
        <f t="shared" si="34"/>
        <v>6415.86</v>
      </c>
      <c r="L158" s="260"/>
      <c r="M158" s="260"/>
    </row>
    <row r="159" spans="1:13" x14ac:dyDescent="0.25">
      <c r="A159" s="260"/>
      <c r="B159" s="265">
        <v>42620</v>
      </c>
      <c r="C159" s="260">
        <v>100</v>
      </c>
      <c r="D159" s="261">
        <v>31.65</v>
      </c>
      <c r="E159" s="261">
        <v>0</v>
      </c>
      <c r="F159" s="261">
        <f t="shared" si="33"/>
        <v>3165</v>
      </c>
      <c r="G159" s="265">
        <v>42684</v>
      </c>
      <c r="H159" s="266">
        <v>100</v>
      </c>
      <c r="I159" s="261">
        <v>32.950000000000003</v>
      </c>
      <c r="J159" s="261">
        <v>7.0000000000000007E-2</v>
      </c>
      <c r="K159" s="261">
        <f t="shared" si="34"/>
        <v>3294.9300000000003</v>
      </c>
      <c r="L159" s="260"/>
      <c r="M159" s="260"/>
    </row>
    <row r="160" spans="1:13" x14ac:dyDescent="0.25">
      <c r="A160" s="260"/>
      <c r="B160" s="265">
        <v>42620</v>
      </c>
      <c r="C160" s="260">
        <v>100</v>
      </c>
      <c r="D160" s="261">
        <v>31.18</v>
      </c>
      <c r="E160" s="261">
        <v>0</v>
      </c>
      <c r="F160" s="261">
        <f t="shared" si="33"/>
        <v>3118</v>
      </c>
      <c r="G160" s="265">
        <v>42712</v>
      </c>
      <c r="H160" s="266">
        <v>100</v>
      </c>
      <c r="I160" s="261">
        <v>34.22</v>
      </c>
      <c r="J160" s="261">
        <v>7.0000000000000007E-2</v>
      </c>
      <c r="K160" s="261">
        <f t="shared" si="34"/>
        <v>3421.93</v>
      </c>
      <c r="L160" s="260"/>
      <c r="M160" s="260"/>
    </row>
    <row r="161" spans="1:13" x14ac:dyDescent="0.25">
      <c r="A161" s="260"/>
      <c r="B161" s="265">
        <v>42625</v>
      </c>
      <c r="C161" s="260">
        <v>100</v>
      </c>
      <c r="D161" s="261">
        <v>30.8</v>
      </c>
      <c r="E161" s="261">
        <v>0</v>
      </c>
      <c r="F161" s="261">
        <f t="shared" si="33"/>
        <v>3080</v>
      </c>
      <c r="G161" s="265">
        <v>42713</v>
      </c>
      <c r="H161" s="266">
        <v>100</v>
      </c>
      <c r="I161" s="261">
        <v>34.79</v>
      </c>
      <c r="J161" s="261">
        <v>0.08</v>
      </c>
      <c r="K161" s="261">
        <f t="shared" si="34"/>
        <v>3478.92</v>
      </c>
      <c r="L161" s="260"/>
      <c r="M161" s="260"/>
    </row>
    <row r="162" spans="1:13" x14ac:dyDescent="0.25">
      <c r="A162" s="260"/>
      <c r="B162" s="265">
        <v>42639</v>
      </c>
      <c r="C162" s="260">
        <v>100</v>
      </c>
      <c r="D162" s="261">
        <v>30.08</v>
      </c>
      <c r="E162" s="261">
        <v>0</v>
      </c>
      <c r="F162" s="261">
        <f t="shared" si="33"/>
        <v>3008</v>
      </c>
      <c r="G162" s="265">
        <v>42718</v>
      </c>
      <c r="H162" s="266">
        <v>100</v>
      </c>
      <c r="I162" s="261">
        <v>35.21</v>
      </c>
      <c r="J162" s="261">
        <v>0.57999999999999996</v>
      </c>
      <c r="K162" s="261">
        <f t="shared" si="34"/>
        <v>3520.42</v>
      </c>
      <c r="L162" s="260"/>
      <c r="M162" s="260"/>
    </row>
    <row r="163" spans="1:13" x14ac:dyDescent="0.25">
      <c r="A163" s="260"/>
      <c r="B163" s="265">
        <v>42646</v>
      </c>
      <c r="C163" s="260">
        <v>100</v>
      </c>
      <c r="D163" s="261">
        <v>29.4</v>
      </c>
      <c r="E163" s="261">
        <v>0</v>
      </c>
      <c r="F163" s="261">
        <f t="shared" si="33"/>
        <v>2940</v>
      </c>
      <c r="G163" s="265">
        <v>42718</v>
      </c>
      <c r="H163" s="266">
        <v>100</v>
      </c>
      <c r="I163" s="261">
        <v>34.9</v>
      </c>
      <c r="J163" s="261">
        <v>0.08</v>
      </c>
      <c r="K163" s="261">
        <f t="shared" si="34"/>
        <v>3489.92</v>
      </c>
      <c r="L163" s="260"/>
      <c r="M163" s="260"/>
    </row>
    <row r="164" spans="1:13" x14ac:dyDescent="0.25">
      <c r="A164" s="260"/>
      <c r="B164" s="265">
        <v>42674</v>
      </c>
      <c r="C164" s="260">
        <v>100</v>
      </c>
      <c r="D164" s="261">
        <v>31.1</v>
      </c>
      <c r="E164" s="261">
        <v>0</v>
      </c>
      <c r="F164" s="261">
        <f t="shared" si="33"/>
        <v>3110</v>
      </c>
      <c r="G164" s="265">
        <v>42752</v>
      </c>
      <c r="H164" s="266">
        <v>100</v>
      </c>
      <c r="I164" s="261">
        <v>34.659999999999997</v>
      </c>
      <c r="J164" s="261">
        <v>0.08</v>
      </c>
      <c r="K164" s="261">
        <f t="shared" si="34"/>
        <v>3465.9199999999996</v>
      </c>
      <c r="L164" s="260"/>
      <c r="M164" s="260"/>
    </row>
    <row r="165" spans="1:13" x14ac:dyDescent="0.25">
      <c r="A165" s="260"/>
      <c r="B165" s="265">
        <v>42677</v>
      </c>
      <c r="C165" s="260">
        <v>200</v>
      </c>
      <c r="D165" s="261">
        <v>31.68</v>
      </c>
      <c r="E165" s="261">
        <v>0</v>
      </c>
      <c r="F165" s="261">
        <f t="shared" si="33"/>
        <v>6336</v>
      </c>
      <c r="G165" s="260"/>
      <c r="H165" s="260"/>
      <c r="I165" s="261"/>
      <c r="J165" s="261"/>
      <c r="K165" s="261"/>
      <c r="L165" s="260"/>
      <c r="M165" s="260"/>
    </row>
    <row r="166" spans="1:13" x14ac:dyDescent="0.25">
      <c r="A166" s="260"/>
      <c r="B166" s="265">
        <v>42677</v>
      </c>
      <c r="C166" s="260">
        <v>100</v>
      </c>
      <c r="D166" s="261">
        <v>31.2</v>
      </c>
      <c r="E166" s="261">
        <v>-0.5</v>
      </c>
      <c r="F166" s="261">
        <f t="shared" si="33"/>
        <v>3119.5</v>
      </c>
      <c r="G166" s="260"/>
      <c r="H166" s="260"/>
      <c r="I166" s="261"/>
      <c r="J166" s="261"/>
      <c r="K166" s="261"/>
      <c r="L166" s="260"/>
      <c r="M166" s="260"/>
    </row>
    <row r="167" spans="1:13" x14ac:dyDescent="0.25">
      <c r="A167" s="260"/>
      <c r="B167" s="265">
        <v>42716</v>
      </c>
      <c r="C167" s="260">
        <v>100</v>
      </c>
      <c r="D167" s="261">
        <v>34.18</v>
      </c>
      <c r="E167" s="261">
        <v>0</v>
      </c>
      <c r="F167" s="261">
        <f t="shared" si="33"/>
        <v>3418</v>
      </c>
      <c r="G167" s="260"/>
      <c r="H167" s="260"/>
      <c r="I167" s="261"/>
      <c r="J167" s="261"/>
      <c r="K167" s="261"/>
      <c r="L167" s="260"/>
      <c r="M167" s="260"/>
    </row>
    <row r="168" spans="1:13" x14ac:dyDescent="0.25">
      <c r="A168" s="260"/>
      <c r="B168" s="265"/>
      <c r="C168" s="260"/>
      <c r="D168" s="261"/>
      <c r="E168" s="261"/>
      <c r="F168" s="261"/>
      <c r="G168" s="260"/>
      <c r="H168" s="260"/>
      <c r="I168" s="261"/>
      <c r="J168" s="261"/>
      <c r="K168" s="261"/>
      <c r="L168" s="260"/>
      <c r="M168" s="260"/>
    </row>
    <row r="169" spans="1:13" x14ac:dyDescent="0.25">
      <c r="A169" s="260"/>
      <c r="B169" s="265"/>
      <c r="C169" s="260"/>
      <c r="D169" s="261"/>
      <c r="E169" s="261"/>
      <c r="F169" s="261"/>
      <c r="G169" s="260"/>
      <c r="H169" s="260"/>
      <c r="I169" s="261"/>
      <c r="J169" s="261"/>
      <c r="K169" s="261"/>
      <c r="L169" s="260"/>
      <c r="M169" s="260"/>
    </row>
    <row r="170" spans="1:13" x14ac:dyDescent="0.25">
      <c r="A170" s="260"/>
      <c r="B170" s="265"/>
      <c r="C170" s="260"/>
      <c r="D170" s="261"/>
      <c r="E170" s="261"/>
      <c r="F170" s="261"/>
      <c r="G170" s="260"/>
      <c r="H170" s="260"/>
      <c r="I170" s="261"/>
      <c r="J170" s="261"/>
      <c r="K170" s="261"/>
      <c r="L170" s="260"/>
      <c r="M170" s="260"/>
    </row>
    <row r="171" spans="1:13" x14ac:dyDescent="0.25">
      <c r="A171" s="260"/>
      <c r="B171" s="260"/>
      <c r="C171" s="260"/>
      <c r="D171" s="261"/>
      <c r="E171" s="261"/>
      <c r="F171" s="261"/>
      <c r="G171" s="260"/>
      <c r="H171" s="260"/>
      <c r="I171" s="261"/>
      <c r="J171" s="261"/>
      <c r="K171" s="261"/>
      <c r="L171" s="260"/>
      <c r="M171" s="260"/>
    </row>
    <row r="172" spans="1:13" x14ac:dyDescent="0.25">
      <c r="A172" s="260"/>
      <c r="B172" s="260"/>
      <c r="C172" s="260"/>
      <c r="D172" s="261"/>
      <c r="E172" s="261"/>
      <c r="F172" s="261"/>
      <c r="G172" s="260"/>
      <c r="H172" s="260"/>
      <c r="I172" s="261"/>
      <c r="J172" s="261"/>
      <c r="K172" s="261"/>
      <c r="L172" s="260"/>
      <c r="M172" s="260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F58:F62">
    <cfRule type="expression" dxfId="855" priority="45">
      <formula>F58&gt;0</formula>
    </cfRule>
    <cfRule type="expression" dxfId="854" priority="46">
      <formula>F58&lt;0</formula>
    </cfRule>
  </conditionalFormatting>
  <conditionalFormatting sqref="F63:F76 F79:F123 F126:F127">
    <cfRule type="expression" dxfId="853" priority="41">
      <formula>F63&gt;0</formula>
    </cfRule>
    <cfRule type="expression" dxfId="852" priority="42">
      <formula>F63&lt;0</formula>
    </cfRule>
  </conditionalFormatting>
  <conditionalFormatting sqref="F63:F76 F79:F123 F126:F127">
    <cfRule type="expression" dxfId="851" priority="43">
      <formula>F63&gt;0</formula>
    </cfRule>
    <cfRule type="expression" dxfId="850" priority="44">
      <formula>F63&lt;0</formula>
    </cfRule>
  </conditionalFormatting>
  <conditionalFormatting sqref="H58:H76 H79:H123 H126:H127">
    <cfRule type="expression" dxfId="849" priority="39">
      <formula>H58&gt;0</formula>
    </cfRule>
    <cfRule type="expression" dxfId="848" priority="40">
      <formula>H58&lt;0</formula>
    </cfRule>
  </conditionalFormatting>
  <conditionalFormatting sqref="F54:F57">
    <cfRule type="expression" dxfId="847" priority="33">
      <formula>F54&gt;0</formula>
    </cfRule>
    <cfRule type="expression" dxfId="846" priority="34">
      <formula>F54&lt;0</formula>
    </cfRule>
  </conditionalFormatting>
  <conditionalFormatting sqref="H54:H57">
    <cfRule type="expression" dxfId="845" priority="31">
      <formula>H54&gt;0</formula>
    </cfRule>
    <cfRule type="expression" dxfId="844" priority="32">
      <formula>H54&lt;0</formula>
    </cfRule>
  </conditionalFormatting>
  <conditionalFormatting sqref="Q8">
    <cfRule type="expression" dxfId="843" priority="27">
      <formula>Q8&gt;0</formula>
    </cfRule>
    <cfRule type="expression" dxfId="842" priority="28">
      <formula>Q8&lt;0</formula>
    </cfRule>
  </conditionalFormatting>
  <conditionalFormatting sqref="Q7">
    <cfRule type="expression" dxfId="841" priority="29">
      <formula>Q7&gt;0</formula>
    </cfRule>
    <cfRule type="expression" dxfId="840" priority="30">
      <formula>Q7&lt;0</formula>
    </cfRule>
  </conditionalFormatting>
  <conditionalFormatting sqref="F77">
    <cfRule type="expression" dxfId="839" priority="23">
      <formula>F77&gt;0</formula>
    </cfRule>
    <cfRule type="expression" dxfId="838" priority="24">
      <formula>F77&lt;0</formula>
    </cfRule>
  </conditionalFormatting>
  <conditionalFormatting sqref="F77">
    <cfRule type="expression" dxfId="837" priority="25">
      <formula>F77&gt;0</formula>
    </cfRule>
    <cfRule type="expression" dxfId="836" priority="26">
      <formula>F77&lt;0</formula>
    </cfRule>
  </conditionalFormatting>
  <conditionalFormatting sqref="H77">
    <cfRule type="expression" dxfId="835" priority="21">
      <formula>H77&gt;0</formula>
    </cfRule>
    <cfRule type="expression" dxfId="834" priority="22">
      <formula>H77&lt;0</formula>
    </cfRule>
  </conditionalFormatting>
  <conditionalFormatting sqref="F78">
    <cfRule type="expression" dxfId="833" priority="17">
      <formula>F78&gt;0</formula>
    </cfRule>
    <cfRule type="expression" dxfId="832" priority="18">
      <formula>F78&lt;0</formula>
    </cfRule>
  </conditionalFormatting>
  <conditionalFormatting sqref="F78">
    <cfRule type="expression" dxfId="831" priority="19">
      <formula>F78&gt;0</formula>
    </cfRule>
    <cfRule type="expression" dxfId="830" priority="20">
      <formula>F78&lt;0</formula>
    </cfRule>
  </conditionalFormatting>
  <conditionalFormatting sqref="H78">
    <cfRule type="expression" dxfId="829" priority="15">
      <formula>H78&gt;0</formula>
    </cfRule>
    <cfRule type="expression" dxfId="828" priority="16">
      <formula>H78&lt;0</formula>
    </cfRule>
  </conditionalFormatting>
  <conditionalFormatting sqref="F124:F125">
    <cfRule type="expression" dxfId="827" priority="11">
      <formula>F124&gt;0</formula>
    </cfRule>
    <cfRule type="expression" dxfId="826" priority="12">
      <formula>F124&lt;0</formula>
    </cfRule>
  </conditionalFormatting>
  <conditionalFormatting sqref="F124:F125">
    <cfRule type="expression" dxfId="825" priority="13">
      <formula>F124&gt;0</formula>
    </cfRule>
    <cfRule type="expression" dxfId="824" priority="14">
      <formula>F124&lt;0</formula>
    </cfRule>
  </conditionalFormatting>
  <conditionalFormatting sqref="H124:H125">
    <cfRule type="expression" dxfId="823" priority="9">
      <formula>H124&gt;0</formula>
    </cfRule>
    <cfRule type="expression" dxfId="822" priority="10">
      <formula>H124&lt;0</formula>
    </cfRule>
  </conditionalFormatting>
  <conditionalFormatting sqref="F35:F45">
    <cfRule type="expression" dxfId="821" priority="7">
      <formula>F35&gt;0</formula>
    </cfRule>
    <cfRule type="expression" dxfId="820" priority="8">
      <formula>F35&lt;0</formula>
    </cfRule>
  </conditionalFormatting>
  <conditionalFormatting sqref="H35:H45">
    <cfRule type="expression" dxfId="819" priority="5">
      <formula>H35&gt;0</formula>
    </cfRule>
    <cfRule type="expression" dxfId="818" priority="6">
      <formula>H35&lt;0</formula>
    </cfRule>
  </conditionalFormatting>
  <conditionalFormatting sqref="Q10">
    <cfRule type="expression" dxfId="817" priority="3">
      <formula>Q10&gt;0</formula>
    </cfRule>
    <cfRule type="expression" dxfId="816" priority="4">
      <formula>Q10&lt;0</formula>
    </cfRule>
  </conditionalFormatting>
  <conditionalFormatting sqref="J45">
    <cfRule type="expression" dxfId="815" priority="1">
      <formula>J45&gt;0</formula>
    </cfRule>
    <cfRule type="expression" dxfId="814" priority="2">
      <formula>J45&lt;0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276</v>
      </c>
      <c r="W2" s="132">
        <v>42797</v>
      </c>
      <c r="X2" s="10">
        <v>12.66</v>
      </c>
      <c r="Y2" s="10">
        <v>12.71</v>
      </c>
      <c r="Z2" s="10">
        <v>12.53</v>
      </c>
      <c r="AA2" s="10">
        <v>12.65</v>
      </c>
      <c r="AB2" s="94">
        <v>30429200</v>
      </c>
      <c r="AC2" s="10">
        <v>12.65</v>
      </c>
      <c r="AD2" s="2">
        <f>Y2-Z2</f>
        <v>0.18000000000000149</v>
      </c>
      <c r="AE2" s="137">
        <f>AC2/AC3-1</f>
        <v>-7.898894154818592E-4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12.53</v>
      </c>
      <c r="T3" s="1"/>
      <c r="W3" s="132">
        <v>42796</v>
      </c>
      <c r="X3" s="10">
        <v>12.72</v>
      </c>
      <c r="Y3" s="10">
        <v>12.75</v>
      </c>
      <c r="Z3" s="10">
        <v>12.58</v>
      </c>
      <c r="AA3" s="10">
        <v>12.66</v>
      </c>
      <c r="AB3" s="94">
        <v>33171700</v>
      </c>
      <c r="AC3" s="10">
        <v>12.66</v>
      </c>
      <c r="AD3" s="2">
        <f t="shared" ref="AD3:AD66" si="0">Y3-Z3</f>
        <v>0.16999999999999993</v>
      </c>
      <c r="AE3" s="137">
        <f t="shared" ref="AE3:AE66" si="1">AC3/AC4-1</f>
        <v>-2.3640661938534313E-3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12.53</v>
      </c>
      <c r="R4" s="499">
        <v>2.3999999999999998E-3</v>
      </c>
      <c r="T4" s="162"/>
      <c r="W4" s="132">
        <v>42795</v>
      </c>
      <c r="X4" s="10">
        <v>12.66</v>
      </c>
      <c r="Y4" s="10">
        <v>12.75</v>
      </c>
      <c r="Z4" s="10">
        <v>12.65</v>
      </c>
      <c r="AA4" s="10">
        <v>12.69</v>
      </c>
      <c r="AB4" s="94">
        <v>36118200</v>
      </c>
      <c r="AC4" s="10">
        <v>12.69</v>
      </c>
      <c r="AD4" s="2">
        <f t="shared" si="0"/>
        <v>9.9999999999999645E-2</v>
      </c>
      <c r="AE4" s="137">
        <f t="shared" si="1"/>
        <v>1.276935355147657E-2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12.63</v>
      </c>
      <c r="Y5" s="10">
        <v>12.66</v>
      </c>
      <c r="Z5" s="10">
        <v>12.45</v>
      </c>
      <c r="AA5" s="10">
        <v>12.53</v>
      </c>
      <c r="AB5" s="94">
        <v>36020600</v>
      </c>
      <c r="AC5" s="10">
        <v>12.53</v>
      </c>
      <c r="AD5" s="2">
        <f t="shared" si="0"/>
        <v>0.21000000000000085</v>
      </c>
      <c r="AE5" s="137">
        <f t="shared" si="1"/>
        <v>-1.0268562401263837E-2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12.49</v>
      </c>
      <c r="Y6" s="10">
        <v>12.68</v>
      </c>
      <c r="Z6" s="10">
        <v>12.43</v>
      </c>
      <c r="AA6" s="10">
        <v>12.66</v>
      </c>
      <c r="AB6" s="94">
        <v>41633600</v>
      </c>
      <c r="AC6" s="10">
        <v>12.66</v>
      </c>
      <c r="AD6" s="2">
        <f t="shared" si="0"/>
        <v>0.25</v>
      </c>
      <c r="AE6" s="137">
        <f t="shared" si="1"/>
        <v>1.5236567762630271E-2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>
        <v>42790</v>
      </c>
      <c r="X7" s="10">
        <v>12.51</v>
      </c>
      <c r="Y7" s="10">
        <v>12.51</v>
      </c>
      <c r="Z7" s="10">
        <v>12.38</v>
      </c>
      <c r="AA7" s="10">
        <v>12.47</v>
      </c>
      <c r="AB7" s="94">
        <v>35985500</v>
      </c>
      <c r="AC7" s="10">
        <v>12.47</v>
      </c>
      <c r="AD7" s="2">
        <f t="shared" si="0"/>
        <v>0.12999999999999901</v>
      </c>
      <c r="AE7" s="137">
        <f t="shared" si="1"/>
        <v>-7.1656050955414274E-3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12.7</v>
      </c>
      <c r="Y8" s="10">
        <v>12.72</v>
      </c>
      <c r="Z8" s="10">
        <v>12.55</v>
      </c>
      <c r="AA8" s="10">
        <v>12.56</v>
      </c>
      <c r="AB8" s="94">
        <v>22359700</v>
      </c>
      <c r="AC8" s="10">
        <v>12.56</v>
      </c>
      <c r="AD8" s="2">
        <f t="shared" si="0"/>
        <v>0.16999999999999993</v>
      </c>
      <c r="AE8" s="137">
        <f t="shared" si="1"/>
        <v>-8.6819258089976259E-3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12.66</v>
      </c>
      <c r="Y9" s="10">
        <v>12.77</v>
      </c>
      <c r="Z9" s="10">
        <v>12.65</v>
      </c>
      <c r="AA9" s="10">
        <v>12.67</v>
      </c>
      <c r="AB9" s="94">
        <v>24697400</v>
      </c>
      <c r="AC9" s="10">
        <v>12.67</v>
      </c>
      <c r="AD9" s="2">
        <f t="shared" si="0"/>
        <v>0.11999999999999922</v>
      </c>
      <c r="AE9" s="137">
        <f t="shared" si="1"/>
        <v>-1.5760441292356209E-3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>
        <v>42787</v>
      </c>
      <c r="X10" s="10">
        <v>12.61</v>
      </c>
      <c r="Y10" s="10">
        <v>12.72</v>
      </c>
      <c r="Z10" s="10">
        <v>12.61</v>
      </c>
      <c r="AA10" s="10">
        <v>12.69</v>
      </c>
      <c r="AB10" s="94">
        <v>28157700</v>
      </c>
      <c r="AC10" s="10">
        <v>12.69</v>
      </c>
      <c r="AD10" s="2">
        <f t="shared" si="0"/>
        <v>0.11000000000000121</v>
      </c>
      <c r="AE10" s="137">
        <f t="shared" si="1"/>
        <v>8.7440381558028246E-3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4.7399999999999998E-2</v>
      </c>
      <c r="W11" s="132">
        <v>42783</v>
      </c>
      <c r="X11" s="10">
        <v>12.5</v>
      </c>
      <c r="Y11" s="10">
        <v>12.58</v>
      </c>
      <c r="Z11" s="10">
        <v>12.42</v>
      </c>
      <c r="AA11" s="10">
        <v>12.58</v>
      </c>
      <c r="AB11" s="94">
        <v>26276700</v>
      </c>
      <c r="AC11" s="10">
        <v>12.58</v>
      </c>
      <c r="AD11" s="2">
        <f t="shared" si="0"/>
        <v>0.16000000000000014</v>
      </c>
      <c r="AE11" s="137">
        <f t="shared" si="1"/>
        <v>3.1897926634769647E-3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42782</v>
      </c>
      <c r="X12" s="10">
        <v>12.61</v>
      </c>
      <c r="Y12" s="10">
        <v>12.64</v>
      </c>
      <c r="Z12" s="10">
        <v>12.48</v>
      </c>
      <c r="AA12" s="10">
        <v>12.54</v>
      </c>
      <c r="AB12" s="94">
        <v>22839000</v>
      </c>
      <c r="AC12" s="10">
        <v>12.54</v>
      </c>
      <c r="AD12" s="2">
        <f t="shared" si="0"/>
        <v>0.16000000000000014</v>
      </c>
      <c r="AE12" s="137">
        <f t="shared" si="1"/>
        <v>-7.1258907363421775E-3</v>
      </c>
    </row>
    <row r="13" spans="1:31" x14ac:dyDescent="0.25">
      <c r="H13" s="71"/>
      <c r="W13" s="132">
        <v>42781</v>
      </c>
      <c r="X13" s="10">
        <v>12.62</v>
      </c>
      <c r="Y13" s="10">
        <v>12.64</v>
      </c>
      <c r="Z13" s="10">
        <v>12.55</v>
      </c>
      <c r="AA13" s="10">
        <v>12.63</v>
      </c>
      <c r="AB13" s="94">
        <v>25003400</v>
      </c>
      <c r="AC13" s="10">
        <v>12.63</v>
      </c>
      <c r="AD13" s="2">
        <f t="shared" si="0"/>
        <v>8.9999999999999858E-2</v>
      </c>
      <c r="AE13" s="137">
        <f t="shared" si="1"/>
        <v>-1.5810276679841806E-3</v>
      </c>
    </row>
    <row r="14" spans="1:31" x14ac:dyDescent="0.25">
      <c r="H14" s="71"/>
      <c r="W14" s="132">
        <v>42780</v>
      </c>
      <c r="X14" s="10">
        <v>12.64</v>
      </c>
      <c r="Y14" s="10">
        <v>12.7</v>
      </c>
      <c r="Z14" s="10">
        <v>12.59</v>
      </c>
      <c r="AA14" s="10">
        <v>12.65</v>
      </c>
      <c r="AB14" s="94">
        <v>28320000</v>
      </c>
      <c r="AC14" s="10">
        <v>12.65</v>
      </c>
      <c r="AD14" s="2">
        <f t="shared" si="0"/>
        <v>0.10999999999999943</v>
      </c>
      <c r="AE14" s="137">
        <f t="shared" si="1"/>
        <v>7.1656050955413164E-3</v>
      </c>
    </row>
    <row r="15" spans="1:31" x14ac:dyDescent="0.25">
      <c r="H15" s="71"/>
      <c r="W15" s="132">
        <v>42779</v>
      </c>
      <c r="X15" s="10">
        <v>12.54</v>
      </c>
      <c r="Y15" s="10">
        <v>12.62</v>
      </c>
      <c r="Z15" s="10">
        <v>12.48</v>
      </c>
      <c r="AA15" s="10">
        <v>12.56</v>
      </c>
      <c r="AB15" s="94">
        <v>24474000</v>
      </c>
      <c r="AC15" s="10">
        <v>12.56</v>
      </c>
      <c r="AD15" s="2">
        <f t="shared" si="0"/>
        <v>0.13999999999999879</v>
      </c>
      <c r="AE15" s="137">
        <f t="shared" si="1"/>
        <v>3.9968025579537603E-3</v>
      </c>
    </row>
    <row r="16" spans="1:31" x14ac:dyDescent="0.25">
      <c r="H16" s="71"/>
      <c r="W16" s="132">
        <v>42776</v>
      </c>
      <c r="X16" s="10">
        <v>12.44</v>
      </c>
      <c r="Y16" s="10">
        <v>12.51</v>
      </c>
      <c r="Z16" s="10">
        <v>12.37</v>
      </c>
      <c r="AA16" s="10">
        <v>12.51</v>
      </c>
      <c r="AB16" s="94">
        <v>32996500</v>
      </c>
      <c r="AC16" s="10">
        <v>12.51</v>
      </c>
      <c r="AD16" s="2">
        <f t="shared" si="0"/>
        <v>0.14000000000000057</v>
      </c>
      <c r="AE16" s="137">
        <f t="shared" si="1"/>
        <v>1.050080775444262E-2</v>
      </c>
    </row>
    <row r="17" spans="1:31" x14ac:dyDescent="0.25">
      <c r="H17" s="71"/>
      <c r="W17" s="132">
        <v>42775</v>
      </c>
      <c r="X17" s="10">
        <v>12.38</v>
      </c>
      <c r="Y17" s="10">
        <v>12.47</v>
      </c>
      <c r="Z17" s="10">
        <v>12.35</v>
      </c>
      <c r="AA17" s="10">
        <v>12.38</v>
      </c>
      <c r="AB17" s="94">
        <v>32924600</v>
      </c>
      <c r="AC17" s="10">
        <v>12.38</v>
      </c>
      <c r="AD17" s="2">
        <f t="shared" si="0"/>
        <v>0.12000000000000099</v>
      </c>
      <c r="AE17" s="137">
        <f t="shared" si="1"/>
        <v>0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42774</v>
      </c>
      <c r="X18" s="10">
        <v>12.34</v>
      </c>
      <c r="Y18" s="10">
        <v>12.45</v>
      </c>
      <c r="Z18" s="10">
        <v>12.27</v>
      </c>
      <c r="AA18" s="10">
        <v>12.38</v>
      </c>
      <c r="AB18" s="94">
        <v>26411400</v>
      </c>
      <c r="AC18" s="10">
        <v>12.38</v>
      </c>
      <c r="AD18" s="2">
        <f t="shared" si="0"/>
        <v>0.17999999999999972</v>
      </c>
      <c r="AE18" s="137">
        <f t="shared" si="1"/>
        <v>3.2414910858995505E-3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12.5</v>
      </c>
      <c r="Y19" s="10">
        <v>12.52</v>
      </c>
      <c r="Z19" s="10">
        <v>12.31</v>
      </c>
      <c r="AA19" s="10">
        <v>12.34</v>
      </c>
      <c r="AB19" s="94">
        <v>32914400</v>
      </c>
      <c r="AC19" s="10">
        <v>12.34</v>
      </c>
      <c r="AD19" s="2">
        <f t="shared" si="0"/>
        <v>0.20999999999999908</v>
      </c>
      <c r="AE19" s="137">
        <f t="shared" si="1"/>
        <v>-1.4376996805111841E-2</v>
      </c>
    </row>
    <row r="20" spans="1:31" x14ac:dyDescent="0.25">
      <c r="W20" s="132">
        <v>42772</v>
      </c>
      <c r="X20" s="10">
        <v>12.55</v>
      </c>
      <c r="Y20" s="10">
        <v>12.62</v>
      </c>
      <c r="Z20" s="10">
        <v>12.46</v>
      </c>
      <c r="AA20" s="10">
        <v>12.52</v>
      </c>
      <c r="AB20" s="94">
        <v>26916800</v>
      </c>
      <c r="AC20" s="10">
        <v>12.52</v>
      </c>
      <c r="AD20" s="2">
        <f t="shared" si="0"/>
        <v>0.15999999999999837</v>
      </c>
      <c r="AE20" s="137">
        <f t="shared" si="1"/>
        <v>-3.1847133757962887E-3</v>
      </c>
    </row>
    <row r="21" spans="1:31" x14ac:dyDescent="0.25">
      <c r="W21" s="132">
        <v>42769</v>
      </c>
      <c r="X21" s="10">
        <v>12.42</v>
      </c>
      <c r="Y21" s="10">
        <v>12.62</v>
      </c>
      <c r="Z21" s="10">
        <v>12.39</v>
      </c>
      <c r="AA21" s="10">
        <v>12.56</v>
      </c>
      <c r="AB21" s="94">
        <v>38245300</v>
      </c>
      <c r="AC21" s="10">
        <v>12.56</v>
      </c>
      <c r="AD21" s="2">
        <f t="shared" si="0"/>
        <v>0.22999999999999865</v>
      </c>
      <c r="AE21" s="137">
        <f t="shared" si="1"/>
        <v>2.2801302931596101E-2</v>
      </c>
    </row>
    <row r="22" spans="1:31" x14ac:dyDescent="0.25">
      <c r="W22" s="132">
        <v>42768</v>
      </c>
      <c r="X22" s="10">
        <v>12.3</v>
      </c>
      <c r="Y22" s="10">
        <v>12.37</v>
      </c>
      <c r="Z22" s="10">
        <v>12.23</v>
      </c>
      <c r="AA22" s="10">
        <v>12.28</v>
      </c>
      <c r="AB22" s="94">
        <v>29035400</v>
      </c>
      <c r="AC22" s="10">
        <v>12.28</v>
      </c>
      <c r="AD22" s="2">
        <f t="shared" si="0"/>
        <v>0.13999999999999879</v>
      </c>
      <c r="AE22" s="137">
        <f t="shared" si="1"/>
        <v>-3.2467532467532756E-3</v>
      </c>
    </row>
    <row r="23" spans="1:31" x14ac:dyDescent="0.25">
      <c r="W23" s="132">
        <v>42767</v>
      </c>
      <c r="X23" s="10">
        <v>12.45</v>
      </c>
      <c r="Y23" s="10">
        <v>12.58</v>
      </c>
      <c r="Z23" s="10">
        <v>12.22</v>
      </c>
      <c r="AA23" s="10">
        <v>12.32</v>
      </c>
      <c r="AB23" s="94">
        <v>44396800</v>
      </c>
      <c r="AC23" s="10">
        <v>12.32</v>
      </c>
      <c r="AD23" s="2">
        <f t="shared" si="0"/>
        <v>0.35999999999999943</v>
      </c>
      <c r="AE23" s="137">
        <f t="shared" si="1"/>
        <v>-3.2362459546925182E-3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12.31</v>
      </c>
      <c r="Y24" s="10">
        <v>12.39</v>
      </c>
      <c r="Z24" s="10">
        <v>12.19</v>
      </c>
      <c r="AA24" s="10">
        <v>12.36</v>
      </c>
      <c r="AB24" s="94">
        <v>46974500</v>
      </c>
      <c r="AC24" s="10">
        <v>12.36</v>
      </c>
      <c r="AD24" s="2">
        <f t="shared" si="0"/>
        <v>0.20000000000000107</v>
      </c>
      <c r="AE24" s="137">
        <f t="shared" si="1"/>
        <v>-8.0840743734844622E-4</v>
      </c>
    </row>
    <row r="25" spans="1:31" x14ac:dyDescent="0.25">
      <c r="B25" s="265">
        <v>42488</v>
      </c>
      <c r="C25" s="260">
        <v>100</v>
      </c>
      <c r="D25" s="261">
        <v>13.8</v>
      </c>
      <c r="E25" s="261">
        <v>13.56</v>
      </c>
      <c r="F25" s="261">
        <f>C25*(E25-D25)</f>
        <v>-24.000000000000021</v>
      </c>
      <c r="G25" s="261">
        <f>D25*C25</f>
        <v>1380</v>
      </c>
      <c r="H25" s="275">
        <f>(E25-D25)/D25</f>
        <v>-1.7391304347826101E-2</v>
      </c>
      <c r="I25" s="261"/>
      <c r="W25" s="132">
        <v>42765</v>
      </c>
      <c r="X25" s="10">
        <v>12.46</v>
      </c>
      <c r="Y25" s="10">
        <v>12.46</v>
      </c>
      <c r="Z25" s="10">
        <v>12.28</v>
      </c>
      <c r="AA25" s="10">
        <v>12.37</v>
      </c>
      <c r="AB25" s="94">
        <v>39254200</v>
      </c>
      <c r="AC25" s="10">
        <v>12.37</v>
      </c>
      <c r="AD25" s="2">
        <f t="shared" si="0"/>
        <v>0.18000000000000149</v>
      </c>
      <c r="AE25" s="137">
        <f t="shared" si="1"/>
        <v>-9.60768614891927E-3</v>
      </c>
    </row>
    <row r="26" spans="1:31" x14ac:dyDescent="0.25">
      <c r="B26" s="265">
        <v>42494</v>
      </c>
      <c r="C26" s="260">
        <v>100</v>
      </c>
      <c r="D26" s="261">
        <v>13.8</v>
      </c>
      <c r="E26" s="261">
        <v>13.31</v>
      </c>
      <c r="F26" s="261">
        <f>C26*(E26-D26)</f>
        <v>-49.000000000000021</v>
      </c>
      <c r="G26" s="261">
        <f>D26*C26</f>
        <v>1380</v>
      </c>
      <c r="H26" s="275">
        <f>(E26-D26)/D26</f>
        <v>-3.5507246376811609E-2</v>
      </c>
      <c r="I26" s="261"/>
      <c r="W26" s="132">
        <v>42762</v>
      </c>
      <c r="X26" s="10">
        <v>12.48</v>
      </c>
      <c r="Y26" s="10">
        <v>12.54</v>
      </c>
      <c r="Z26" s="10">
        <v>12.38</v>
      </c>
      <c r="AA26" s="10">
        <v>12.49</v>
      </c>
      <c r="AB26" s="94">
        <v>34613900</v>
      </c>
      <c r="AC26" s="10">
        <v>12.49</v>
      </c>
      <c r="AD26" s="2">
        <f t="shared" si="0"/>
        <v>0.15999999999999837</v>
      </c>
      <c r="AE26" s="137">
        <f t="shared" si="1"/>
        <v>9.7008892481811326E-3</v>
      </c>
    </row>
    <row r="27" spans="1:31" x14ac:dyDescent="0.25">
      <c r="B27" s="265">
        <v>42507</v>
      </c>
      <c r="C27" s="260">
        <v>200</v>
      </c>
      <c r="D27" s="261">
        <v>13.44</v>
      </c>
      <c r="E27" s="261">
        <v>13.14</v>
      </c>
      <c r="F27" s="261">
        <f>C27*(E27-D27)</f>
        <v>-59.999999999999787</v>
      </c>
      <c r="G27" s="261">
        <f>D27*C27</f>
        <v>2688</v>
      </c>
      <c r="H27" s="275">
        <f>(E27-D27)/D27</f>
        <v>-2.2321428571428492E-2</v>
      </c>
      <c r="I27" s="261"/>
      <c r="W27" s="132">
        <v>42761</v>
      </c>
      <c r="X27" s="10">
        <v>12.65</v>
      </c>
      <c r="Y27" s="10">
        <v>12.68</v>
      </c>
      <c r="Z27" s="10">
        <v>12.35</v>
      </c>
      <c r="AA27" s="10">
        <v>12.37</v>
      </c>
      <c r="AB27" s="94">
        <v>55672800</v>
      </c>
      <c r="AC27" s="10">
        <v>12.37</v>
      </c>
      <c r="AD27" s="2">
        <f t="shared" si="0"/>
        <v>0.33000000000000007</v>
      </c>
      <c r="AE27" s="137">
        <f t="shared" si="1"/>
        <v>-3.2838154808444098E-2</v>
      </c>
    </row>
    <row r="28" spans="1:31" x14ac:dyDescent="0.25">
      <c r="B28" s="265">
        <v>42515</v>
      </c>
      <c r="C28" s="260">
        <v>100</v>
      </c>
      <c r="D28" s="261">
        <v>13.2903</v>
      </c>
      <c r="E28" s="261">
        <v>13.52</v>
      </c>
      <c r="F28" s="261">
        <f t="shared" ref="F28:F34" si="2">C28*(E28-D28)</f>
        <v>22.969999999999935</v>
      </c>
      <c r="G28" s="261">
        <f t="shared" ref="G28:G34" si="3">D28*C28</f>
        <v>1329.03</v>
      </c>
      <c r="H28" s="275">
        <f t="shared" ref="H28:H34" si="4">(E28-D28)/D28</f>
        <v>1.7283281791983577E-2</v>
      </c>
      <c r="I28" s="261"/>
      <c r="W28" s="132">
        <v>42760</v>
      </c>
      <c r="X28" s="10">
        <v>12.71</v>
      </c>
      <c r="Y28" s="10">
        <v>12.8</v>
      </c>
      <c r="Z28" s="10">
        <v>12.64</v>
      </c>
      <c r="AA28" s="10">
        <v>12.79</v>
      </c>
      <c r="AB28" s="94">
        <v>46747800</v>
      </c>
      <c r="AC28" s="10">
        <v>12.79</v>
      </c>
      <c r="AD28" s="2">
        <f t="shared" si="0"/>
        <v>0.16000000000000014</v>
      </c>
      <c r="AE28" s="137">
        <f t="shared" si="1"/>
        <v>1.4274385408405976E-2</v>
      </c>
    </row>
    <row r="29" spans="1:31" x14ac:dyDescent="0.25">
      <c r="B29" s="265">
        <v>42527</v>
      </c>
      <c r="C29" s="260">
        <v>100</v>
      </c>
      <c r="D29" s="261">
        <v>13.2903</v>
      </c>
      <c r="E29" s="261">
        <v>13.18</v>
      </c>
      <c r="F29" s="261">
        <f t="shared" si="2"/>
        <v>-11.030000000000051</v>
      </c>
      <c r="G29" s="261">
        <f t="shared" si="3"/>
        <v>1329.03</v>
      </c>
      <c r="H29" s="275">
        <f t="shared" si="4"/>
        <v>-8.2992859453887811E-3</v>
      </c>
      <c r="I29" s="261"/>
      <c r="W29" s="132">
        <v>42759</v>
      </c>
      <c r="X29" s="10">
        <v>12.35</v>
      </c>
      <c r="Y29" s="10">
        <v>12.61</v>
      </c>
      <c r="Z29" s="10">
        <v>12.34</v>
      </c>
      <c r="AA29" s="10">
        <v>12.61</v>
      </c>
      <c r="AB29" s="94">
        <v>34625200</v>
      </c>
      <c r="AC29" s="10">
        <v>12.61</v>
      </c>
      <c r="AD29" s="2">
        <f t="shared" si="0"/>
        <v>0.26999999999999957</v>
      </c>
      <c r="AE29" s="137">
        <f t="shared" si="1"/>
        <v>2.4370430544272903E-2</v>
      </c>
    </row>
    <row r="30" spans="1:31" x14ac:dyDescent="0.25">
      <c r="B30" s="265">
        <v>42528</v>
      </c>
      <c r="C30" s="260">
        <v>100</v>
      </c>
      <c r="D30" s="261">
        <v>13.2903</v>
      </c>
      <c r="E30" s="261">
        <v>13.38</v>
      </c>
      <c r="F30" s="261">
        <f t="shared" si="2"/>
        <v>8.9700000000000557</v>
      </c>
      <c r="G30" s="261">
        <f t="shared" si="3"/>
        <v>1329.03</v>
      </c>
      <c r="H30" s="275">
        <f t="shared" si="4"/>
        <v>6.7492833118891638E-3</v>
      </c>
      <c r="I30" s="261"/>
      <c r="W30" s="132">
        <v>42758</v>
      </c>
      <c r="X30" s="10">
        <v>12.35</v>
      </c>
      <c r="Y30" s="10">
        <v>12.38</v>
      </c>
      <c r="Z30" s="10">
        <v>12.22</v>
      </c>
      <c r="AA30" s="10">
        <v>12.31</v>
      </c>
      <c r="AB30" s="94">
        <v>31670700</v>
      </c>
      <c r="AC30" s="10">
        <v>12.31</v>
      </c>
      <c r="AD30" s="2">
        <f t="shared" si="0"/>
        <v>0.16000000000000014</v>
      </c>
      <c r="AE30" s="137">
        <f t="shared" si="1"/>
        <v>-4.04530744336562E-3</v>
      </c>
    </row>
    <row r="31" spans="1:31" x14ac:dyDescent="0.25">
      <c r="B31" s="265">
        <v>42535</v>
      </c>
      <c r="C31" s="260">
        <v>100</v>
      </c>
      <c r="D31" s="261">
        <v>13.29</v>
      </c>
      <c r="E31" s="261">
        <v>12.84</v>
      </c>
      <c r="F31" s="261">
        <f t="shared" si="2"/>
        <v>-44.999999999999929</v>
      </c>
      <c r="G31" s="261">
        <f t="shared" si="3"/>
        <v>1329</v>
      </c>
      <c r="H31" s="275">
        <f t="shared" si="4"/>
        <v>-3.386004514672681E-2</v>
      </c>
      <c r="I31" s="261"/>
      <c r="W31" s="132">
        <v>42755</v>
      </c>
      <c r="X31" s="10">
        <v>12.45</v>
      </c>
      <c r="Y31" s="10">
        <v>12.48</v>
      </c>
      <c r="Z31" s="10">
        <v>12.31</v>
      </c>
      <c r="AA31" s="10">
        <v>12.36</v>
      </c>
      <c r="AB31" s="94">
        <v>29270000</v>
      </c>
      <c r="AC31" s="10">
        <v>12.36</v>
      </c>
      <c r="AD31" s="2">
        <f t="shared" si="0"/>
        <v>0.16999999999999993</v>
      </c>
      <c r="AE31" s="137">
        <f t="shared" si="1"/>
        <v>-5.6315366049879412E-3</v>
      </c>
    </row>
    <row r="32" spans="1:31" x14ac:dyDescent="0.25">
      <c r="B32" s="265">
        <v>42542</v>
      </c>
      <c r="C32" s="260">
        <v>100</v>
      </c>
      <c r="D32" s="261">
        <v>13.2903</v>
      </c>
      <c r="E32" s="261">
        <v>13.42</v>
      </c>
      <c r="F32" s="261">
        <f t="shared" si="2"/>
        <v>12.96999999999997</v>
      </c>
      <c r="G32" s="261">
        <f t="shared" si="3"/>
        <v>1329.03</v>
      </c>
      <c r="H32" s="275">
        <f t="shared" si="4"/>
        <v>9.758997163344673E-3</v>
      </c>
      <c r="I32" s="261"/>
      <c r="W32" s="132">
        <v>42754</v>
      </c>
      <c r="X32" s="10">
        <v>12.4</v>
      </c>
      <c r="Y32" s="10">
        <v>12.56</v>
      </c>
      <c r="Z32" s="10">
        <v>12.34</v>
      </c>
      <c r="AA32" s="10">
        <v>12.43</v>
      </c>
      <c r="AB32" s="94">
        <v>30135600</v>
      </c>
      <c r="AC32" s="10">
        <v>12.43</v>
      </c>
      <c r="AD32" s="2">
        <f t="shared" si="0"/>
        <v>0.22000000000000064</v>
      </c>
      <c r="AE32" s="137">
        <f t="shared" si="1"/>
        <v>1.6116035455278066E-3</v>
      </c>
    </row>
    <row r="33" spans="2:31" x14ac:dyDescent="0.25">
      <c r="B33" s="265">
        <v>42545</v>
      </c>
      <c r="C33" s="260">
        <v>250</v>
      </c>
      <c r="D33" s="261">
        <v>12.966100000000001</v>
      </c>
      <c r="E33" s="261">
        <v>12.52</v>
      </c>
      <c r="F33" s="261">
        <f t="shared" si="2"/>
        <v>-111.52500000000032</v>
      </c>
      <c r="G33" s="261">
        <f t="shared" si="3"/>
        <v>3241.5250000000001</v>
      </c>
      <c r="H33" s="275">
        <f t="shared" si="4"/>
        <v>-3.4405102536614808E-2</v>
      </c>
      <c r="I33" s="261"/>
      <c r="W33" s="132">
        <v>42753</v>
      </c>
      <c r="X33" s="10">
        <v>12.43</v>
      </c>
      <c r="Y33" s="10">
        <v>12.45</v>
      </c>
      <c r="Z33" s="10">
        <v>12.3</v>
      </c>
      <c r="AA33" s="10">
        <v>12.41</v>
      </c>
      <c r="AB33" s="94">
        <v>33830800</v>
      </c>
      <c r="AC33" s="10">
        <v>12.41</v>
      </c>
      <c r="AD33" s="2">
        <f t="shared" si="0"/>
        <v>0.14999999999999858</v>
      </c>
      <c r="AE33" s="137" t="e">
        <f t="shared" si="1"/>
        <v>#DIV/0!</v>
      </c>
    </row>
    <row r="34" spans="2:31" x14ac:dyDescent="0.25">
      <c r="B34" s="265">
        <v>42548</v>
      </c>
      <c r="C34" s="260">
        <v>400</v>
      </c>
      <c r="D34" s="261">
        <v>12.6713</v>
      </c>
      <c r="E34" s="261">
        <v>12.16</v>
      </c>
      <c r="F34" s="261">
        <f t="shared" si="2"/>
        <v>-204.52000000000012</v>
      </c>
      <c r="G34" s="261">
        <f t="shared" si="3"/>
        <v>5068.5200000000004</v>
      </c>
      <c r="H34" s="275">
        <f t="shared" si="4"/>
        <v>-4.0351029491843798E-2</v>
      </c>
      <c r="I34" s="261"/>
      <c r="W34" s="132">
        <v>42753</v>
      </c>
      <c r="X34" s="10" t="s">
        <v>369</v>
      </c>
      <c r="Y34" s="10"/>
      <c r="Z34" s="10"/>
      <c r="AA34" s="10"/>
      <c r="AB34" s="94"/>
      <c r="AC34" s="10"/>
      <c r="AD34" s="2">
        <f t="shared" si="0"/>
        <v>0</v>
      </c>
      <c r="AE34" s="137">
        <f t="shared" si="1"/>
        <v>-1</v>
      </c>
    </row>
    <row r="35" spans="2:31" x14ac:dyDescent="0.25">
      <c r="B35" s="265">
        <v>42552</v>
      </c>
      <c r="C35" s="260">
        <v>400</v>
      </c>
      <c r="D35" s="261">
        <v>12.6713</v>
      </c>
      <c r="E35" s="261">
        <v>12.72</v>
      </c>
      <c r="F35" s="261">
        <f t="shared" ref="F35:F63" si="5">C35*(E35-D35)</f>
        <v>19.480000000000075</v>
      </c>
      <c r="G35" s="261">
        <f t="shared" ref="G35:G63" si="6">D35*C35</f>
        <v>5068.5200000000004</v>
      </c>
      <c r="H35" s="275">
        <f t="shared" ref="H35:H63" si="7">(E35-D35)/D35</f>
        <v>3.843330992084489E-3</v>
      </c>
      <c r="I35" s="261"/>
      <c r="W35" s="132">
        <v>42752</v>
      </c>
      <c r="X35" s="10">
        <v>12.65</v>
      </c>
      <c r="Y35" s="10">
        <v>12.73</v>
      </c>
      <c r="Z35" s="10">
        <v>12.54</v>
      </c>
      <c r="AA35" s="10">
        <v>12.61</v>
      </c>
      <c r="AB35" s="94">
        <v>49069500</v>
      </c>
      <c r="AC35" s="10">
        <v>12.41</v>
      </c>
      <c r="AD35" s="2">
        <f t="shared" si="0"/>
        <v>0.19000000000000128</v>
      </c>
      <c r="AE35" s="137">
        <f t="shared" si="1"/>
        <v>-1.6090104585679832E-3</v>
      </c>
    </row>
    <row r="36" spans="2:31" x14ac:dyDescent="0.25">
      <c r="B36" s="265">
        <v>42556</v>
      </c>
      <c r="C36" s="260">
        <v>400</v>
      </c>
      <c r="D36" s="261">
        <v>12.6713</v>
      </c>
      <c r="E36" s="261">
        <v>12.4</v>
      </c>
      <c r="F36" s="261">
        <f t="shared" si="5"/>
        <v>-108.52000000000004</v>
      </c>
      <c r="G36" s="261">
        <f t="shared" si="6"/>
        <v>5068.5200000000004</v>
      </c>
      <c r="H36" s="275">
        <f t="shared" si="7"/>
        <v>-2.1410589284445961E-2</v>
      </c>
      <c r="I36" s="580">
        <v>11.5</v>
      </c>
      <c r="W36" s="132">
        <v>42748</v>
      </c>
      <c r="X36" s="10">
        <v>12.62</v>
      </c>
      <c r="Y36" s="10">
        <v>12.67</v>
      </c>
      <c r="Z36" s="10">
        <v>12.5</v>
      </c>
      <c r="AA36" s="10">
        <v>12.63</v>
      </c>
      <c r="AB36" s="94">
        <v>29197100</v>
      </c>
      <c r="AC36" s="10">
        <v>12.43</v>
      </c>
      <c r="AD36" s="2">
        <f t="shared" si="0"/>
        <v>0.16999999999999993</v>
      </c>
      <c r="AE36" s="137">
        <f t="shared" si="1"/>
        <v>3.2284100080710587E-3</v>
      </c>
    </row>
    <row r="37" spans="2:31" x14ac:dyDescent="0.25">
      <c r="B37" s="265">
        <v>42566</v>
      </c>
      <c r="C37" s="260">
        <v>300</v>
      </c>
      <c r="D37" s="261">
        <v>12.5352</v>
      </c>
      <c r="E37" s="261">
        <v>13.57</v>
      </c>
      <c r="F37" s="261">
        <f t="shared" si="5"/>
        <v>310.44000000000017</v>
      </c>
      <c r="G37" s="261">
        <f t="shared" si="6"/>
        <v>3760.56</v>
      </c>
      <c r="H37" s="275">
        <f t="shared" si="7"/>
        <v>8.2551534877784216E-2</v>
      </c>
      <c r="I37" s="580"/>
      <c r="W37" s="132">
        <v>42747</v>
      </c>
      <c r="X37" s="10">
        <v>12.66</v>
      </c>
      <c r="Y37" s="10">
        <v>12.68</v>
      </c>
      <c r="Z37" s="10">
        <v>12.35</v>
      </c>
      <c r="AA37" s="10">
        <v>12.59</v>
      </c>
      <c r="AB37" s="94">
        <v>36493300</v>
      </c>
      <c r="AC37" s="10">
        <v>12.39</v>
      </c>
      <c r="AD37" s="2">
        <f t="shared" si="0"/>
        <v>0.33000000000000007</v>
      </c>
      <c r="AE37" s="137">
        <f t="shared" si="1"/>
        <v>-6.4153969526864474E-3</v>
      </c>
    </row>
    <row r="38" spans="2:31" x14ac:dyDescent="0.25">
      <c r="B38" s="265">
        <v>42570</v>
      </c>
      <c r="C38" s="260">
        <v>300</v>
      </c>
      <c r="D38" s="261">
        <v>12.5352</v>
      </c>
      <c r="E38" s="261">
        <v>13.65</v>
      </c>
      <c r="F38" s="261">
        <f t="shared" si="5"/>
        <v>334.44000000000023</v>
      </c>
      <c r="G38" s="261">
        <f t="shared" si="6"/>
        <v>3760.56</v>
      </c>
      <c r="H38" s="275">
        <f t="shared" si="7"/>
        <v>8.8933563086348894E-2</v>
      </c>
      <c r="I38" s="261"/>
      <c r="W38" s="132">
        <v>42746</v>
      </c>
      <c r="X38" s="10">
        <v>12.71</v>
      </c>
      <c r="Y38" s="10">
        <v>12.72</v>
      </c>
      <c r="Z38" s="10">
        <v>12.51</v>
      </c>
      <c r="AA38" s="10">
        <v>12.67</v>
      </c>
      <c r="AB38" s="94">
        <v>49718700</v>
      </c>
      <c r="AC38" s="10">
        <v>12.47</v>
      </c>
      <c r="AD38" s="2">
        <f t="shared" si="0"/>
        <v>0.21000000000000085</v>
      </c>
      <c r="AE38" s="137">
        <f t="shared" si="1"/>
        <v>-1.4229249011857736E-2</v>
      </c>
    </row>
    <row r="39" spans="2:31" x14ac:dyDescent="0.25">
      <c r="B39" s="265">
        <v>42571</v>
      </c>
      <c r="C39" s="260">
        <v>300</v>
      </c>
      <c r="D39" s="261">
        <v>12.5352</v>
      </c>
      <c r="E39" s="261">
        <v>13.74</v>
      </c>
      <c r="F39" s="261">
        <f t="shared" si="5"/>
        <v>361.44000000000017</v>
      </c>
      <c r="G39" s="261">
        <f t="shared" si="6"/>
        <v>3760.56</v>
      </c>
      <c r="H39" s="275">
        <f t="shared" si="7"/>
        <v>9.6113344820984159E-2</v>
      </c>
      <c r="I39" s="261"/>
      <c r="W39" s="132">
        <v>42745</v>
      </c>
      <c r="X39" s="10">
        <v>12.7</v>
      </c>
      <c r="Y39" s="10">
        <v>13.02</v>
      </c>
      <c r="Z39" s="10">
        <v>12.66</v>
      </c>
      <c r="AA39" s="10">
        <v>12.85</v>
      </c>
      <c r="AB39" s="94">
        <v>58703500</v>
      </c>
      <c r="AC39" s="10">
        <v>12.65</v>
      </c>
      <c r="AD39" s="2">
        <f t="shared" si="0"/>
        <v>0.35999999999999943</v>
      </c>
      <c r="AE39" s="137">
        <f t="shared" si="1"/>
        <v>1.7699115044247815E-2</v>
      </c>
    </row>
    <row r="40" spans="2:31" ht="20.25" thickBot="1" x14ac:dyDescent="0.35">
      <c r="B40" s="265">
        <v>42572</v>
      </c>
      <c r="C40" s="260">
        <v>300</v>
      </c>
      <c r="D40" s="261">
        <v>12.5352</v>
      </c>
      <c r="E40" s="261">
        <v>13.92</v>
      </c>
      <c r="F40" s="261">
        <f t="shared" si="5"/>
        <v>415.44000000000005</v>
      </c>
      <c r="G40" s="261">
        <f t="shared" si="6"/>
        <v>3760.56</v>
      </c>
      <c r="H40" s="275">
        <f t="shared" si="7"/>
        <v>0.11047290829025466</v>
      </c>
      <c r="I40" s="261"/>
      <c r="O40" s="703" t="s">
        <v>78</v>
      </c>
      <c r="P40" s="703"/>
      <c r="W40" s="132">
        <v>42744</v>
      </c>
      <c r="X40" s="10">
        <v>12.79</v>
      </c>
      <c r="Y40" s="10">
        <v>12.86</v>
      </c>
      <c r="Z40" s="10">
        <v>12.63</v>
      </c>
      <c r="AA40" s="10">
        <v>12.63</v>
      </c>
      <c r="AB40" s="94">
        <v>39183400</v>
      </c>
      <c r="AC40" s="10">
        <v>12.43</v>
      </c>
      <c r="AD40" s="2">
        <f t="shared" si="0"/>
        <v>0.22999999999999865</v>
      </c>
      <c r="AE40" s="137">
        <f t="shared" si="1"/>
        <v>-1.0350318471337605E-2</v>
      </c>
    </row>
    <row r="41" spans="2:31" ht="15.75" thickTop="1" x14ac:dyDescent="0.25">
      <c r="B41" s="265">
        <v>42575</v>
      </c>
      <c r="C41" s="260">
        <v>300</v>
      </c>
      <c r="D41" s="261">
        <v>12.5352</v>
      </c>
      <c r="E41" s="261">
        <v>13.82</v>
      </c>
      <c r="F41" s="261">
        <f t="shared" si="5"/>
        <v>385.44000000000017</v>
      </c>
      <c r="G41" s="261">
        <f t="shared" si="6"/>
        <v>3760.56</v>
      </c>
      <c r="H41" s="275">
        <f t="shared" si="7"/>
        <v>0.10249537302954884</v>
      </c>
      <c r="I41" s="261"/>
      <c r="O41" s="82">
        <v>1.1000000000000001</v>
      </c>
      <c r="P41" s="82">
        <f>O41*$Q$4</f>
        <v>13.783000000000001</v>
      </c>
      <c r="Q41" s="2"/>
      <c r="W41" s="132">
        <v>42741</v>
      </c>
      <c r="X41" s="10">
        <v>12.8</v>
      </c>
      <c r="Y41" s="10">
        <v>12.84</v>
      </c>
      <c r="Z41" s="10">
        <v>12.64</v>
      </c>
      <c r="AA41" s="10">
        <v>12.76</v>
      </c>
      <c r="AB41" s="94">
        <v>40315900</v>
      </c>
      <c r="AC41" s="10">
        <v>12.56</v>
      </c>
      <c r="AD41" s="2">
        <f t="shared" si="0"/>
        <v>0.19999999999999929</v>
      </c>
      <c r="AE41" s="137">
        <f t="shared" si="1"/>
        <v>-7.9554494828959488E-4</v>
      </c>
    </row>
    <row r="42" spans="2:31" ht="20.25" thickBot="1" x14ac:dyDescent="0.35">
      <c r="B42" s="265">
        <v>42577</v>
      </c>
      <c r="C42" s="260">
        <v>250</v>
      </c>
      <c r="D42" s="261">
        <v>12.286300000000001</v>
      </c>
      <c r="E42" s="261">
        <v>13.86</v>
      </c>
      <c r="F42" s="261">
        <f t="shared" si="5"/>
        <v>393.42499999999967</v>
      </c>
      <c r="G42" s="261">
        <f t="shared" si="6"/>
        <v>3071.5750000000003</v>
      </c>
      <c r="H42" s="275">
        <f t="shared" si="7"/>
        <v>0.12808575405126024</v>
      </c>
      <c r="I42" s="581" t="s">
        <v>262</v>
      </c>
      <c r="O42" s="82">
        <v>1.0900000000000001</v>
      </c>
      <c r="P42" s="82">
        <f t="shared" ref="P42:P61" si="8">O42*$Q$4</f>
        <v>13.6577</v>
      </c>
      <c r="Q42" s="2"/>
      <c r="T42" s="90" t="s">
        <v>113</v>
      </c>
      <c r="W42" s="132">
        <v>42740</v>
      </c>
      <c r="X42" s="10">
        <v>13.21</v>
      </c>
      <c r="Y42" s="10">
        <v>13.22</v>
      </c>
      <c r="Z42" s="10">
        <v>12.63</v>
      </c>
      <c r="AA42" s="10">
        <v>12.77</v>
      </c>
      <c r="AB42" s="94">
        <v>75628400</v>
      </c>
      <c r="AC42" s="10">
        <v>12.57</v>
      </c>
      <c r="AD42" s="2">
        <f t="shared" si="0"/>
        <v>0.58999999999999986</v>
      </c>
      <c r="AE42" s="137">
        <f t="shared" si="1"/>
        <v>-3.0092592592592671E-2</v>
      </c>
    </row>
    <row r="43" spans="2:31" ht="15.75" thickTop="1" x14ac:dyDescent="0.25">
      <c r="B43" s="265">
        <v>42579</v>
      </c>
      <c r="C43" s="260">
        <v>250</v>
      </c>
      <c r="D43" s="261">
        <v>12.286300000000001</v>
      </c>
      <c r="E43" s="261">
        <v>12.71</v>
      </c>
      <c r="F43" s="261">
        <f t="shared" si="5"/>
        <v>105.92500000000004</v>
      </c>
      <c r="G43" s="261">
        <f t="shared" si="6"/>
        <v>3071.5750000000003</v>
      </c>
      <c r="H43" s="275">
        <f t="shared" si="7"/>
        <v>3.4485565223053335E-2</v>
      </c>
      <c r="I43" s="261"/>
      <c r="O43" s="82">
        <v>1.08</v>
      </c>
      <c r="P43" s="82">
        <f t="shared" si="8"/>
        <v>13.532400000000001</v>
      </c>
      <c r="Q43" s="2"/>
      <c r="T43" s="127" t="s">
        <v>98</v>
      </c>
      <c r="U43" s="97">
        <v>12.66</v>
      </c>
      <c r="W43" s="132">
        <v>42739</v>
      </c>
      <c r="X43" s="10">
        <v>12.77</v>
      </c>
      <c r="Y43" s="10">
        <v>13.27</v>
      </c>
      <c r="Z43" s="10">
        <v>12.74</v>
      </c>
      <c r="AA43" s="10">
        <v>13.17</v>
      </c>
      <c r="AB43" s="94">
        <v>77638100</v>
      </c>
      <c r="AC43" s="10">
        <v>12.96</v>
      </c>
      <c r="AD43" s="2">
        <f t="shared" si="0"/>
        <v>0.52999999999999936</v>
      </c>
      <c r="AE43" s="137">
        <f t="shared" si="1"/>
        <v>4.6004842615012143E-2</v>
      </c>
    </row>
    <row r="44" spans="2:31" x14ac:dyDescent="0.25">
      <c r="B44" s="265">
        <v>42585</v>
      </c>
      <c r="C44" s="260">
        <v>250</v>
      </c>
      <c r="D44" s="261">
        <v>12.286300000000001</v>
      </c>
      <c r="E44" s="261">
        <v>11.94</v>
      </c>
      <c r="F44" s="261">
        <f t="shared" si="5"/>
        <v>-86.575000000000287</v>
      </c>
      <c r="G44" s="261">
        <f t="shared" si="6"/>
        <v>3071.5750000000003</v>
      </c>
      <c r="H44" s="275">
        <f t="shared" si="7"/>
        <v>-2.8185865557572347E-2</v>
      </c>
      <c r="I44" s="261"/>
      <c r="O44" s="82">
        <v>1.07</v>
      </c>
      <c r="P44" s="82">
        <f t="shared" si="8"/>
        <v>13.4071</v>
      </c>
      <c r="Q44" s="2"/>
      <c r="T44" s="92" t="s">
        <v>99</v>
      </c>
      <c r="U44" s="87">
        <v>12.66</v>
      </c>
      <c r="W44" s="132">
        <v>42738</v>
      </c>
      <c r="X44" s="10">
        <v>12.2</v>
      </c>
      <c r="Y44" s="10">
        <v>12.6</v>
      </c>
      <c r="Z44" s="10">
        <v>12.13</v>
      </c>
      <c r="AA44" s="10">
        <v>12.59</v>
      </c>
      <c r="AB44" s="94">
        <v>40510800</v>
      </c>
      <c r="AC44" s="10">
        <v>12.39</v>
      </c>
      <c r="AD44" s="2">
        <f t="shared" si="0"/>
        <v>0.46999999999999886</v>
      </c>
      <c r="AE44" s="137">
        <f t="shared" si="1"/>
        <v>3.7688442211055273E-2</v>
      </c>
    </row>
    <row r="45" spans="2:31" x14ac:dyDescent="0.25">
      <c r="B45" s="265">
        <v>42593</v>
      </c>
      <c r="C45" s="260">
        <v>250</v>
      </c>
      <c r="D45" s="261">
        <v>12.286300000000001</v>
      </c>
      <c r="E45" s="261">
        <v>12.25</v>
      </c>
      <c r="F45" s="261">
        <f t="shared" si="5"/>
        <v>-9.0750000000001663</v>
      </c>
      <c r="G45" s="261">
        <f t="shared" si="6"/>
        <v>3071.5750000000003</v>
      </c>
      <c r="H45" s="275">
        <f t="shared" si="7"/>
        <v>-2.9545103082295452E-3</v>
      </c>
      <c r="I45" s="261"/>
      <c r="O45" s="82">
        <v>1.06</v>
      </c>
      <c r="P45" s="82">
        <f t="shared" si="8"/>
        <v>13.2818</v>
      </c>
      <c r="Q45" s="2"/>
      <c r="T45" s="92" t="s">
        <v>100</v>
      </c>
      <c r="U45" s="87" t="s">
        <v>129</v>
      </c>
      <c r="W45" s="132">
        <v>42734</v>
      </c>
      <c r="X45" s="10">
        <v>12.24</v>
      </c>
      <c r="Y45" s="10">
        <v>12.28</v>
      </c>
      <c r="Z45" s="10">
        <v>12.08</v>
      </c>
      <c r="AA45" s="10">
        <v>12.13</v>
      </c>
      <c r="AB45" s="94">
        <v>27405700</v>
      </c>
      <c r="AC45" s="10">
        <v>11.94</v>
      </c>
      <c r="AD45" s="2">
        <f t="shared" si="0"/>
        <v>0.19999999999999929</v>
      </c>
      <c r="AE45" s="137">
        <f t="shared" si="1"/>
        <v>-8.3056478405315604E-3</v>
      </c>
    </row>
    <row r="46" spans="2:31" x14ac:dyDescent="0.25">
      <c r="B46" s="265">
        <v>42597</v>
      </c>
      <c r="C46" s="260">
        <v>250</v>
      </c>
      <c r="D46" s="261">
        <v>12.286300000000001</v>
      </c>
      <c r="E46" s="261">
        <v>12.43</v>
      </c>
      <c r="F46" s="261">
        <f t="shared" si="5"/>
        <v>35.924999999999763</v>
      </c>
      <c r="G46" s="261">
        <f t="shared" si="6"/>
        <v>3071.5750000000003</v>
      </c>
      <c r="H46" s="275">
        <f t="shared" si="7"/>
        <v>1.1695954030098488E-2</v>
      </c>
      <c r="I46" s="261"/>
      <c r="O46" s="82">
        <v>1.05</v>
      </c>
      <c r="P46" s="82">
        <f t="shared" si="8"/>
        <v>13.156499999999999</v>
      </c>
      <c r="Q46" s="2"/>
      <c r="T46" s="92" t="s">
        <v>101</v>
      </c>
      <c r="U46" s="87" t="s">
        <v>129</v>
      </c>
      <c r="W46" s="132">
        <v>42733</v>
      </c>
      <c r="X46" s="10">
        <v>12.25</v>
      </c>
      <c r="Y46" s="10">
        <v>12.31</v>
      </c>
      <c r="Z46" s="10">
        <v>12.22</v>
      </c>
      <c r="AA46" s="10">
        <v>12.23</v>
      </c>
      <c r="AB46" s="94">
        <v>19819100</v>
      </c>
      <c r="AC46" s="10">
        <v>12.04</v>
      </c>
      <c r="AD46" s="2">
        <f t="shared" si="0"/>
        <v>8.9999999999999858E-2</v>
      </c>
      <c r="AE46" s="137">
        <f t="shared" si="1"/>
        <v>-1.6583747927032544E-3</v>
      </c>
    </row>
    <row r="47" spans="2:31" x14ac:dyDescent="0.25">
      <c r="B47" s="265">
        <v>42600</v>
      </c>
      <c r="C47" s="260">
        <v>250</v>
      </c>
      <c r="D47" s="261">
        <v>12.286300000000001</v>
      </c>
      <c r="E47" s="261">
        <v>12.33</v>
      </c>
      <c r="F47" s="261">
        <f t="shared" si="5"/>
        <v>10.924999999999851</v>
      </c>
      <c r="G47" s="261">
        <f t="shared" si="6"/>
        <v>3071.5750000000003</v>
      </c>
      <c r="H47" s="275">
        <f t="shared" si="7"/>
        <v>3.5568071754718184E-3</v>
      </c>
      <c r="I47" s="261"/>
      <c r="O47" s="82">
        <v>1.04</v>
      </c>
      <c r="P47" s="82">
        <f t="shared" si="8"/>
        <v>13.0312</v>
      </c>
      <c r="Q47" s="2"/>
      <c r="T47" s="92" t="s">
        <v>102</v>
      </c>
      <c r="U47" s="87">
        <v>13.31</v>
      </c>
      <c r="W47" s="132">
        <v>42732</v>
      </c>
      <c r="X47" s="10">
        <v>12.37</v>
      </c>
      <c r="Y47" s="10">
        <v>12.45</v>
      </c>
      <c r="Z47" s="10">
        <v>12.22</v>
      </c>
      <c r="AA47" s="10">
        <v>12.25</v>
      </c>
      <c r="AB47" s="94">
        <v>26875400</v>
      </c>
      <c r="AC47" s="10">
        <v>12.06</v>
      </c>
      <c r="AD47" s="2">
        <f t="shared" si="0"/>
        <v>0.22999999999999865</v>
      </c>
      <c r="AE47" s="137">
        <f t="shared" si="1"/>
        <v>-1.066447908121404E-2</v>
      </c>
    </row>
    <row r="48" spans="2:31" x14ac:dyDescent="0.25">
      <c r="B48" s="265">
        <v>42601</v>
      </c>
      <c r="C48" s="260">
        <v>250</v>
      </c>
      <c r="D48" s="261">
        <v>12.286300000000001</v>
      </c>
      <c r="E48" s="261">
        <v>12.39</v>
      </c>
      <c r="F48" s="261">
        <f t="shared" si="5"/>
        <v>25.924999999999976</v>
      </c>
      <c r="G48" s="261">
        <f t="shared" si="6"/>
        <v>3071.5750000000003</v>
      </c>
      <c r="H48" s="275">
        <f t="shared" si="7"/>
        <v>8.4402952882478774E-3</v>
      </c>
      <c r="I48" s="261"/>
      <c r="O48" s="82">
        <v>1.03</v>
      </c>
      <c r="P48" s="82">
        <f t="shared" si="8"/>
        <v>12.905899999999999</v>
      </c>
      <c r="Q48" s="2"/>
      <c r="T48" s="92" t="s">
        <v>103</v>
      </c>
      <c r="U48" s="87">
        <v>1.34107</v>
      </c>
      <c r="W48" s="132">
        <v>42731</v>
      </c>
      <c r="X48" s="10">
        <v>12.43</v>
      </c>
      <c r="Y48" s="10">
        <v>12.51</v>
      </c>
      <c r="Z48" s="10">
        <v>12.36</v>
      </c>
      <c r="AA48" s="10">
        <v>12.39</v>
      </c>
      <c r="AB48" s="94">
        <v>19467400</v>
      </c>
      <c r="AC48" s="10">
        <v>12.19</v>
      </c>
      <c r="AD48" s="2">
        <f t="shared" si="0"/>
        <v>0.15000000000000036</v>
      </c>
      <c r="AE48" s="137">
        <f t="shared" si="1"/>
        <v>-5.7096247960848334E-3</v>
      </c>
    </row>
    <row r="49" spans="2:31" x14ac:dyDescent="0.25">
      <c r="B49" s="265">
        <v>42604</v>
      </c>
      <c r="C49" s="260">
        <v>250</v>
      </c>
      <c r="D49" s="261">
        <v>12.286300000000001</v>
      </c>
      <c r="E49" s="261">
        <v>12.36</v>
      </c>
      <c r="F49" s="261">
        <f t="shared" si="5"/>
        <v>18.424999999999692</v>
      </c>
      <c r="G49" s="261">
        <f t="shared" si="6"/>
        <v>3071.5750000000003</v>
      </c>
      <c r="H49" s="275">
        <f t="shared" si="7"/>
        <v>5.9985512318597757E-3</v>
      </c>
      <c r="I49" s="261"/>
      <c r="O49" s="82">
        <v>1.02</v>
      </c>
      <c r="P49" s="82">
        <f t="shared" si="8"/>
        <v>12.7806</v>
      </c>
      <c r="Q49" s="2"/>
      <c r="T49" s="92" t="s">
        <v>104</v>
      </c>
      <c r="U49" s="87" t="s">
        <v>418</v>
      </c>
      <c r="W49" s="132">
        <v>42727</v>
      </c>
      <c r="X49" s="10">
        <v>12.43</v>
      </c>
      <c r="Y49" s="10">
        <v>12.46</v>
      </c>
      <c r="Z49" s="10">
        <v>12.36</v>
      </c>
      <c r="AA49" s="10">
        <v>12.46</v>
      </c>
      <c r="AB49" s="94">
        <v>15621200</v>
      </c>
      <c r="AC49" s="10">
        <v>12.26</v>
      </c>
      <c r="AD49" s="2">
        <f t="shared" si="0"/>
        <v>0.10000000000000142</v>
      </c>
      <c r="AE49" s="137">
        <f t="shared" si="1"/>
        <v>4.9180327868851847E-3</v>
      </c>
    </row>
    <row r="50" spans="2:31" x14ac:dyDescent="0.25">
      <c r="B50" s="265">
        <v>42607</v>
      </c>
      <c r="C50" s="260">
        <v>250</v>
      </c>
      <c r="D50" s="261">
        <v>12.286300000000001</v>
      </c>
      <c r="E50" s="261">
        <v>12.47</v>
      </c>
      <c r="F50" s="261">
        <f t="shared" si="5"/>
        <v>45.924999999999997</v>
      </c>
      <c r="G50" s="261">
        <f t="shared" si="6"/>
        <v>3071.5750000000003</v>
      </c>
      <c r="H50" s="275">
        <f t="shared" si="7"/>
        <v>1.4951612771949242E-2</v>
      </c>
      <c r="I50" s="261"/>
      <c r="O50" s="82">
        <v>1.01</v>
      </c>
      <c r="P50" s="82">
        <f t="shared" si="8"/>
        <v>12.655299999999999</v>
      </c>
      <c r="Q50" s="2"/>
      <c r="T50" s="92"/>
      <c r="U50" s="87"/>
      <c r="W50" s="132">
        <v>42726</v>
      </c>
      <c r="X50" s="10">
        <v>12.63</v>
      </c>
      <c r="Y50" s="10">
        <v>12.64</v>
      </c>
      <c r="Z50" s="10">
        <v>12.4</v>
      </c>
      <c r="AA50" s="10">
        <v>12.4</v>
      </c>
      <c r="AB50" s="94">
        <v>27821100</v>
      </c>
      <c r="AC50" s="10">
        <v>12.2</v>
      </c>
      <c r="AD50" s="2">
        <f t="shared" si="0"/>
        <v>0.24000000000000021</v>
      </c>
      <c r="AE50" s="137">
        <f t="shared" si="1"/>
        <v>-1.9292604501607746E-2</v>
      </c>
    </row>
    <row r="51" spans="2:31" x14ac:dyDescent="0.25">
      <c r="B51" s="265">
        <v>42615</v>
      </c>
      <c r="C51" s="260">
        <v>250</v>
      </c>
      <c r="D51" s="261">
        <v>12.106299999999999</v>
      </c>
      <c r="E51" s="261">
        <v>12.5</v>
      </c>
      <c r="F51" s="261">
        <f t="shared" si="5"/>
        <v>98.42500000000021</v>
      </c>
      <c r="G51" s="261">
        <f t="shared" si="6"/>
        <v>3026.5749999999998</v>
      </c>
      <c r="H51" s="275">
        <f t="shared" si="7"/>
        <v>3.252025804746296E-2</v>
      </c>
      <c r="I51" s="420" t="s">
        <v>274</v>
      </c>
      <c r="O51" s="82">
        <v>1</v>
      </c>
      <c r="P51" s="82">
        <f t="shared" si="8"/>
        <v>12.53</v>
      </c>
      <c r="Q51" s="2"/>
      <c r="T51" s="92" t="s">
        <v>105</v>
      </c>
      <c r="U51" s="87" t="s">
        <v>632</v>
      </c>
      <c r="W51" s="132">
        <v>42725</v>
      </c>
      <c r="X51" s="10">
        <v>12.73</v>
      </c>
      <c r="Y51" s="10">
        <v>12.77</v>
      </c>
      <c r="Z51" s="10">
        <v>12.64</v>
      </c>
      <c r="AA51" s="10">
        <v>12.64</v>
      </c>
      <c r="AB51" s="94">
        <v>18117100</v>
      </c>
      <c r="AC51" s="10">
        <v>12.44</v>
      </c>
      <c r="AD51" s="2">
        <f t="shared" si="0"/>
        <v>0.12999999999999901</v>
      </c>
      <c r="AE51" s="137">
        <f t="shared" si="1"/>
        <v>-1.1128775834658211E-2</v>
      </c>
    </row>
    <row r="52" spans="2:31" x14ac:dyDescent="0.25">
      <c r="B52" s="265">
        <v>42620</v>
      </c>
      <c r="C52" s="260">
        <v>150</v>
      </c>
      <c r="D52" s="261">
        <v>11.7141</v>
      </c>
      <c r="E52" s="261">
        <v>12.7</v>
      </c>
      <c r="F52" s="261">
        <f t="shared" si="5"/>
        <v>147.88499999999988</v>
      </c>
      <c r="G52" s="261">
        <f t="shared" si="6"/>
        <v>1757.115</v>
      </c>
      <c r="H52" s="275">
        <f t="shared" si="7"/>
        <v>8.4163529421807826E-2</v>
      </c>
      <c r="I52" s="261"/>
      <c r="O52" s="82">
        <v>0.99</v>
      </c>
      <c r="P52" s="82">
        <f t="shared" si="8"/>
        <v>12.4047</v>
      </c>
      <c r="Q52" s="2"/>
      <c r="T52" s="92" t="s">
        <v>106</v>
      </c>
      <c r="U52" s="87" t="s">
        <v>436</v>
      </c>
      <c r="W52" s="132">
        <v>42724</v>
      </c>
      <c r="X52" s="10">
        <v>12.7</v>
      </c>
      <c r="Y52" s="10">
        <v>12.82</v>
      </c>
      <c r="Z52" s="10">
        <v>12.68</v>
      </c>
      <c r="AA52" s="10">
        <v>12.78</v>
      </c>
      <c r="AB52" s="94">
        <v>17834000</v>
      </c>
      <c r="AC52" s="10">
        <v>12.58</v>
      </c>
      <c r="AD52" s="2">
        <f t="shared" si="0"/>
        <v>0.14000000000000057</v>
      </c>
      <c r="AE52" s="137">
        <f t="shared" si="1"/>
        <v>9.6308186195825929E-3</v>
      </c>
    </row>
    <row r="53" spans="2:31" x14ac:dyDescent="0.25">
      <c r="B53" s="265">
        <v>42621</v>
      </c>
      <c r="C53" s="260">
        <v>150</v>
      </c>
      <c r="D53" s="261">
        <v>11.7141</v>
      </c>
      <c r="E53" s="261">
        <v>12.73</v>
      </c>
      <c r="F53" s="261">
        <f t="shared" si="5"/>
        <v>152.38500000000005</v>
      </c>
      <c r="G53" s="261">
        <f t="shared" si="6"/>
        <v>1757.115</v>
      </c>
      <c r="H53" s="275">
        <f t="shared" si="7"/>
        <v>8.6724545633040537E-2</v>
      </c>
      <c r="I53" s="261"/>
      <c r="O53" s="82">
        <v>0.98</v>
      </c>
      <c r="P53" s="82">
        <f t="shared" si="8"/>
        <v>12.279399999999999</v>
      </c>
      <c r="Q53" s="2"/>
      <c r="T53" s="92" t="s">
        <v>107</v>
      </c>
      <c r="U53" s="89">
        <v>30493532</v>
      </c>
      <c r="W53" s="132">
        <v>42723</v>
      </c>
      <c r="X53" s="10">
        <v>12.59</v>
      </c>
      <c r="Y53" s="10">
        <v>12.8</v>
      </c>
      <c r="Z53" s="10">
        <v>12.59</v>
      </c>
      <c r="AA53" s="10">
        <v>12.66</v>
      </c>
      <c r="AB53" s="94">
        <v>22830000</v>
      </c>
      <c r="AC53" s="10">
        <v>12.46</v>
      </c>
      <c r="AD53" s="2">
        <f t="shared" si="0"/>
        <v>0.21000000000000085</v>
      </c>
      <c r="AE53" s="137">
        <f t="shared" si="1"/>
        <v>2.4135156878519748E-3</v>
      </c>
    </row>
    <row r="54" spans="2:31" x14ac:dyDescent="0.25">
      <c r="B54" s="265">
        <v>42622</v>
      </c>
      <c r="C54" s="260">
        <v>150</v>
      </c>
      <c r="D54" s="261">
        <v>11.7141</v>
      </c>
      <c r="E54" s="261">
        <v>12.38</v>
      </c>
      <c r="F54" s="261">
        <f t="shared" si="5"/>
        <v>99.88500000000009</v>
      </c>
      <c r="G54" s="261">
        <f t="shared" si="6"/>
        <v>1757.115</v>
      </c>
      <c r="H54" s="275">
        <f t="shared" si="7"/>
        <v>5.684602316866004E-2</v>
      </c>
      <c r="I54" s="261"/>
      <c r="O54" s="82">
        <v>0.97</v>
      </c>
      <c r="P54" s="82">
        <f t="shared" si="8"/>
        <v>12.1541</v>
      </c>
      <c r="T54" s="92" t="s">
        <v>110</v>
      </c>
      <c r="U54" s="89">
        <v>35092600</v>
      </c>
      <c r="W54" s="132">
        <v>42720</v>
      </c>
      <c r="X54" s="10">
        <v>12.66</v>
      </c>
      <c r="Y54" s="10">
        <v>12.7</v>
      </c>
      <c r="Z54" s="10">
        <v>12.56</v>
      </c>
      <c r="AA54" s="10">
        <v>12.63</v>
      </c>
      <c r="AB54" s="94">
        <v>28354900</v>
      </c>
      <c r="AC54" s="10">
        <v>12.43</v>
      </c>
      <c r="AD54" s="2">
        <f t="shared" si="0"/>
        <v>0.13999999999999879</v>
      </c>
      <c r="AE54" s="137">
        <f t="shared" si="1"/>
        <v>4.0387722132471104E-3</v>
      </c>
    </row>
    <row r="55" spans="2:31" x14ac:dyDescent="0.25">
      <c r="B55" s="265">
        <v>42625</v>
      </c>
      <c r="C55" s="260">
        <v>150</v>
      </c>
      <c r="D55" s="261">
        <v>11.7141</v>
      </c>
      <c r="E55" s="261">
        <v>12.7</v>
      </c>
      <c r="F55" s="261">
        <f t="shared" si="5"/>
        <v>147.88499999999988</v>
      </c>
      <c r="G55" s="261">
        <f t="shared" si="6"/>
        <v>1757.115</v>
      </c>
      <c r="H55" s="275">
        <f t="shared" si="7"/>
        <v>8.4163529421807826E-2</v>
      </c>
      <c r="I55" s="261"/>
      <c r="O55" s="82">
        <v>0.96</v>
      </c>
      <c r="P55" s="82">
        <f t="shared" si="8"/>
        <v>12.028799999999999</v>
      </c>
      <c r="T55" s="92" t="s">
        <v>108</v>
      </c>
      <c r="U55" s="87" t="s">
        <v>633</v>
      </c>
      <c r="W55" s="132">
        <v>42719</v>
      </c>
      <c r="X55" s="10">
        <v>12.54</v>
      </c>
      <c r="Y55" s="10">
        <v>12.72</v>
      </c>
      <c r="Z55" s="10">
        <v>12.52</v>
      </c>
      <c r="AA55" s="10">
        <v>12.58</v>
      </c>
      <c r="AB55" s="94">
        <v>23774800</v>
      </c>
      <c r="AC55" s="10">
        <v>12.38</v>
      </c>
      <c r="AD55" s="2">
        <f t="shared" si="0"/>
        <v>0.20000000000000107</v>
      </c>
      <c r="AE55" s="137">
        <f t="shared" si="1"/>
        <v>4.0551500405514584E-3</v>
      </c>
    </row>
    <row r="56" spans="2:31" x14ac:dyDescent="0.25">
      <c r="B56" s="265">
        <v>42627</v>
      </c>
      <c r="C56" s="260">
        <v>250</v>
      </c>
      <c r="D56" s="261">
        <v>11.884399999999999</v>
      </c>
      <c r="E56" s="261">
        <v>12.14</v>
      </c>
      <c r="F56" s="261">
        <f t="shared" si="5"/>
        <v>63.90000000000029</v>
      </c>
      <c r="G56" s="261">
        <f t="shared" si="6"/>
        <v>2971.1</v>
      </c>
      <c r="H56" s="275">
        <f t="shared" si="7"/>
        <v>2.1507185890747633E-2</v>
      </c>
      <c r="I56" s="420" t="s">
        <v>288</v>
      </c>
      <c r="O56" s="82">
        <v>0.95</v>
      </c>
      <c r="P56" s="82">
        <f t="shared" si="8"/>
        <v>11.903499999999999</v>
      </c>
      <c r="T56" s="92" t="s">
        <v>111</v>
      </c>
      <c r="U56" s="87">
        <v>11</v>
      </c>
      <c r="W56" s="132">
        <v>42718</v>
      </c>
      <c r="X56" s="10">
        <v>12.65</v>
      </c>
      <c r="Y56" s="10">
        <v>12.79</v>
      </c>
      <c r="Z56" s="10">
        <v>12.5</v>
      </c>
      <c r="AA56" s="10">
        <v>12.53</v>
      </c>
      <c r="AB56" s="94">
        <v>42820100</v>
      </c>
      <c r="AC56" s="10">
        <v>12.33</v>
      </c>
      <c r="AD56" s="2">
        <f t="shared" si="0"/>
        <v>0.28999999999999915</v>
      </c>
      <c r="AE56" s="137">
        <f t="shared" si="1"/>
        <v>-1.9093078758949944E-2</v>
      </c>
    </row>
    <row r="57" spans="2:31" x14ac:dyDescent="0.25">
      <c r="B57" s="265">
        <v>42648</v>
      </c>
      <c r="C57" s="260">
        <v>250</v>
      </c>
      <c r="D57" s="261">
        <v>11.884399999999999</v>
      </c>
      <c r="E57" s="261">
        <v>12.48</v>
      </c>
      <c r="F57" s="261">
        <f t="shared" si="5"/>
        <v>148.90000000000026</v>
      </c>
      <c r="G57" s="261">
        <f t="shared" si="6"/>
        <v>2971.1</v>
      </c>
      <c r="H57" s="275">
        <f t="shared" si="7"/>
        <v>5.0116118609269379E-2</v>
      </c>
      <c r="I57" s="261"/>
      <c r="O57" s="82">
        <v>0.94</v>
      </c>
      <c r="P57" s="82">
        <f t="shared" si="8"/>
        <v>11.778199999999998</v>
      </c>
      <c r="T57" s="92" t="s">
        <v>112</v>
      </c>
      <c r="U57" s="87">
        <v>1.1499999999999999</v>
      </c>
      <c r="W57" s="132">
        <v>42717</v>
      </c>
      <c r="X57" s="10">
        <v>12.84</v>
      </c>
      <c r="Y57" s="10">
        <v>12.88</v>
      </c>
      <c r="Z57" s="10">
        <v>12.75</v>
      </c>
      <c r="AA57" s="10">
        <v>12.77</v>
      </c>
      <c r="AB57" s="94">
        <v>39570500</v>
      </c>
      <c r="AC57" s="10">
        <v>12.57</v>
      </c>
      <c r="AD57" s="2">
        <f t="shared" si="0"/>
        <v>0.13000000000000078</v>
      </c>
      <c r="AE57" s="137">
        <f t="shared" si="1"/>
        <v>-3.961965134706702E-3</v>
      </c>
    </row>
    <row r="58" spans="2:31" x14ac:dyDescent="0.25">
      <c r="B58" s="265">
        <v>42649</v>
      </c>
      <c r="C58" s="260">
        <v>250</v>
      </c>
      <c r="D58" s="261">
        <v>11.884399999999999</v>
      </c>
      <c r="E58" s="261">
        <v>12.39</v>
      </c>
      <c r="F58" s="261">
        <f t="shared" si="5"/>
        <v>126.40000000000029</v>
      </c>
      <c r="G58" s="261">
        <f t="shared" si="6"/>
        <v>2971.1</v>
      </c>
      <c r="H58" s="275">
        <f t="shared" si="7"/>
        <v>4.2543165830837164E-2</v>
      </c>
      <c r="I58" s="261"/>
      <c r="O58" s="82">
        <v>0.93</v>
      </c>
      <c r="P58" s="82">
        <f t="shared" si="8"/>
        <v>11.652900000000001</v>
      </c>
      <c r="T58" s="92" t="s">
        <v>109</v>
      </c>
      <c r="U58" s="87" t="s">
        <v>634</v>
      </c>
      <c r="W58" s="132">
        <v>42716</v>
      </c>
      <c r="X58" s="10">
        <v>13.08</v>
      </c>
      <c r="Y58" s="10">
        <v>13.1</v>
      </c>
      <c r="Z58" s="10">
        <v>12.81</v>
      </c>
      <c r="AA58" s="10">
        <v>12.82</v>
      </c>
      <c r="AB58" s="94">
        <v>39596800</v>
      </c>
      <c r="AC58" s="10">
        <v>12.62</v>
      </c>
      <c r="AD58" s="2">
        <f t="shared" si="0"/>
        <v>0.28999999999999915</v>
      </c>
      <c r="AE58" s="137">
        <f t="shared" si="1"/>
        <v>-2.6234567901234684E-2</v>
      </c>
    </row>
    <row r="59" spans="2:31" x14ac:dyDescent="0.25">
      <c r="B59" s="265">
        <v>42668</v>
      </c>
      <c r="C59" s="260">
        <v>250</v>
      </c>
      <c r="D59" s="261">
        <v>11.884399999999999</v>
      </c>
      <c r="E59" s="261">
        <v>11.85</v>
      </c>
      <c r="F59" s="261">
        <f t="shared" si="5"/>
        <v>-8.599999999999941</v>
      </c>
      <c r="G59" s="261">
        <f t="shared" si="6"/>
        <v>2971.1</v>
      </c>
      <c r="H59" s="275">
        <f t="shared" si="7"/>
        <v>-2.8945508397562993E-3</v>
      </c>
      <c r="I59" s="261"/>
      <c r="O59" s="82">
        <v>0.92</v>
      </c>
      <c r="P59" s="82">
        <f t="shared" si="8"/>
        <v>11.5276</v>
      </c>
      <c r="W59" s="132">
        <v>42713</v>
      </c>
      <c r="X59" s="10">
        <v>13</v>
      </c>
      <c r="Y59" s="10">
        <v>13.2</v>
      </c>
      <c r="Z59" s="10">
        <v>12.91</v>
      </c>
      <c r="AA59" s="10">
        <v>13.17</v>
      </c>
      <c r="AB59" s="94">
        <v>45256100</v>
      </c>
      <c r="AC59" s="10">
        <v>12.96</v>
      </c>
      <c r="AD59" s="2">
        <f t="shared" si="0"/>
        <v>0.28999999999999915</v>
      </c>
      <c r="AE59" s="137">
        <f t="shared" si="1"/>
        <v>1.0920436817472678E-2</v>
      </c>
    </row>
    <row r="60" spans="2:31" x14ac:dyDescent="0.25">
      <c r="B60" s="265">
        <v>42670</v>
      </c>
      <c r="C60" s="260">
        <v>450</v>
      </c>
      <c r="D60" s="261">
        <v>11.7936</v>
      </c>
      <c r="E60" s="261">
        <v>11.74</v>
      </c>
      <c r="F60" s="261">
        <f t="shared" si="5"/>
        <v>-24.119999999999742</v>
      </c>
      <c r="G60" s="261">
        <f t="shared" si="6"/>
        <v>5307.12</v>
      </c>
      <c r="H60" s="275">
        <f t="shared" si="7"/>
        <v>-4.5448378781711629E-3</v>
      </c>
      <c r="I60" s="261"/>
      <c r="O60" s="82">
        <v>0.91</v>
      </c>
      <c r="P60" s="82">
        <f t="shared" si="8"/>
        <v>11.4023</v>
      </c>
      <c r="W60" s="132">
        <v>42712</v>
      </c>
      <c r="X60" s="10">
        <v>13.07</v>
      </c>
      <c r="Y60" s="10">
        <v>13.15</v>
      </c>
      <c r="Z60" s="10">
        <v>12.97</v>
      </c>
      <c r="AA60" s="10">
        <v>13.03</v>
      </c>
      <c r="AB60" s="94">
        <v>41459500</v>
      </c>
      <c r="AC60" s="10">
        <v>12.82</v>
      </c>
      <c r="AD60" s="2">
        <f t="shared" si="0"/>
        <v>0.17999999999999972</v>
      </c>
      <c r="AE60" s="137">
        <f t="shared" si="1"/>
        <v>-2.3346303501945442E-3</v>
      </c>
    </row>
    <row r="61" spans="2:31" x14ac:dyDescent="0.25">
      <c r="B61" s="265">
        <v>42676</v>
      </c>
      <c r="C61" s="260">
        <v>450</v>
      </c>
      <c r="D61" s="261">
        <v>11.7936</v>
      </c>
      <c r="E61" s="261">
        <v>11.4</v>
      </c>
      <c r="F61" s="261">
        <f t="shared" si="5"/>
        <v>-177.11999999999966</v>
      </c>
      <c r="G61" s="261">
        <f t="shared" si="6"/>
        <v>5307.12</v>
      </c>
      <c r="H61" s="275">
        <f t="shared" si="7"/>
        <v>-3.3374033374033316E-2</v>
      </c>
      <c r="I61" s="261"/>
      <c r="O61" s="82">
        <v>0.9</v>
      </c>
      <c r="P61" s="82">
        <f t="shared" si="8"/>
        <v>11.276999999999999</v>
      </c>
      <c r="W61" s="132">
        <v>42711</v>
      </c>
      <c r="X61" s="10">
        <v>12.59</v>
      </c>
      <c r="Y61" s="10">
        <v>13.15</v>
      </c>
      <c r="Z61" s="10">
        <v>12.54</v>
      </c>
      <c r="AA61" s="10">
        <v>13.06</v>
      </c>
      <c r="AB61" s="94">
        <v>58600400</v>
      </c>
      <c r="AC61" s="10">
        <v>12.85</v>
      </c>
      <c r="AD61" s="2">
        <f t="shared" si="0"/>
        <v>0.61000000000000121</v>
      </c>
      <c r="AE61" s="137">
        <f t="shared" si="1"/>
        <v>3.9644012944983764E-2</v>
      </c>
    </row>
    <row r="62" spans="2:31" x14ac:dyDescent="0.25">
      <c r="B62" s="265">
        <v>42701</v>
      </c>
      <c r="C62" s="260">
        <v>200</v>
      </c>
      <c r="D62" s="261">
        <v>11.610900000000001</v>
      </c>
      <c r="E62" s="261">
        <v>12.04</v>
      </c>
      <c r="F62" s="261">
        <f t="shared" si="5"/>
        <v>85.819999999999652</v>
      </c>
      <c r="G62" s="261">
        <f t="shared" si="6"/>
        <v>2322.1800000000003</v>
      </c>
      <c r="H62" s="275">
        <f t="shared" si="7"/>
        <v>3.6956652800385695E-2</v>
      </c>
      <c r="I62" s="261"/>
      <c r="W62" s="132">
        <v>42710</v>
      </c>
      <c r="X62" s="10">
        <v>12.4</v>
      </c>
      <c r="Y62" s="10">
        <v>12.59</v>
      </c>
      <c r="Z62" s="10">
        <v>12.37</v>
      </c>
      <c r="AA62" s="10">
        <v>12.56</v>
      </c>
      <c r="AB62" s="94">
        <v>23923900</v>
      </c>
      <c r="AC62" s="10">
        <v>12.36</v>
      </c>
      <c r="AD62" s="2">
        <f t="shared" si="0"/>
        <v>0.22000000000000064</v>
      </c>
      <c r="AE62" s="137">
        <f t="shared" si="1"/>
        <v>9.8039215686274161E-3</v>
      </c>
    </row>
    <row r="63" spans="2:31" x14ac:dyDescent="0.25">
      <c r="B63" s="265">
        <v>42706</v>
      </c>
      <c r="C63" s="260">
        <v>200</v>
      </c>
      <c r="D63" s="261">
        <v>11.423400000000001</v>
      </c>
      <c r="E63" s="261">
        <v>12.24</v>
      </c>
      <c r="F63" s="261">
        <f t="shared" si="5"/>
        <v>163.31999999999988</v>
      </c>
      <c r="G63" s="261">
        <f t="shared" si="6"/>
        <v>2284.6800000000003</v>
      </c>
      <c r="H63" s="275">
        <f t="shared" si="7"/>
        <v>7.1484846893219114E-2</v>
      </c>
      <c r="I63" s="261"/>
      <c r="W63" s="132">
        <v>42709</v>
      </c>
      <c r="X63" s="10">
        <v>12.31</v>
      </c>
      <c r="Y63" s="10">
        <v>12.5</v>
      </c>
      <c r="Z63" s="10">
        <v>12.29</v>
      </c>
      <c r="AA63" s="10">
        <v>12.44</v>
      </c>
      <c r="AB63" s="94">
        <v>36220000</v>
      </c>
      <c r="AC63" s="10">
        <v>12.24</v>
      </c>
      <c r="AD63" s="2">
        <f t="shared" si="0"/>
        <v>0.21000000000000085</v>
      </c>
      <c r="AE63" s="137">
        <f t="shared" si="1"/>
        <v>1.5767634854771728E-2</v>
      </c>
    </row>
    <row r="64" spans="2:31" x14ac:dyDescent="0.25">
      <c r="B64" s="265">
        <v>42711</v>
      </c>
      <c r="C64" s="260">
        <v>0</v>
      </c>
      <c r="D64" s="261"/>
      <c r="E64" s="261"/>
      <c r="F64" s="261">
        <v>251.26</v>
      </c>
      <c r="G64" s="261"/>
      <c r="H64" s="275"/>
      <c r="I64" s="261"/>
      <c r="W64" s="132">
        <v>42706</v>
      </c>
      <c r="X64" s="10">
        <v>12.58</v>
      </c>
      <c r="Y64" s="10">
        <v>12.58</v>
      </c>
      <c r="Z64" s="10">
        <v>12.15</v>
      </c>
      <c r="AA64" s="10">
        <v>12.24</v>
      </c>
      <c r="AB64" s="94">
        <v>38689800</v>
      </c>
      <c r="AC64" s="10">
        <v>12.05</v>
      </c>
      <c r="AD64" s="2">
        <f t="shared" si="0"/>
        <v>0.42999999999999972</v>
      </c>
      <c r="AE64" s="137">
        <f t="shared" si="1"/>
        <v>-1.4717906786590351E-2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40"/>
      <c r="W65" s="132">
        <v>42705</v>
      </c>
      <c r="X65" s="10">
        <v>12.23</v>
      </c>
      <c r="Y65" s="10">
        <v>12.8</v>
      </c>
      <c r="Z65" s="10">
        <v>12.18</v>
      </c>
      <c r="AA65" s="10">
        <v>12.43</v>
      </c>
      <c r="AB65" s="94">
        <v>95143600</v>
      </c>
      <c r="AC65" s="10">
        <v>12.23</v>
      </c>
      <c r="AD65" s="2">
        <f t="shared" si="0"/>
        <v>0.62000000000000099</v>
      </c>
      <c r="AE65" s="137">
        <f t="shared" si="1"/>
        <v>3.908241291418868E-2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40"/>
      <c r="W66" s="132">
        <v>42704</v>
      </c>
      <c r="X66" s="10">
        <v>11.97</v>
      </c>
      <c r="Y66" s="10">
        <v>12.14</v>
      </c>
      <c r="Z66" s="10">
        <v>11.92</v>
      </c>
      <c r="AA66" s="10">
        <v>11.96</v>
      </c>
      <c r="AB66" s="94">
        <v>47646200</v>
      </c>
      <c r="AC66" s="10">
        <v>11.77</v>
      </c>
      <c r="AD66" s="2">
        <f t="shared" si="0"/>
        <v>0.22000000000000064</v>
      </c>
      <c r="AE66" s="137">
        <f t="shared" si="1"/>
        <v>3.4100596760442414E-3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42703</v>
      </c>
      <c r="X67" s="10">
        <v>11.93</v>
      </c>
      <c r="Y67" s="10">
        <v>12</v>
      </c>
      <c r="Z67" s="10">
        <v>11.87</v>
      </c>
      <c r="AA67" s="10">
        <v>11.92</v>
      </c>
      <c r="AB67" s="94">
        <v>23690800</v>
      </c>
      <c r="AC67" s="10">
        <v>11.73</v>
      </c>
      <c r="AD67" s="2">
        <f>Y67-Z67</f>
        <v>0.13000000000000078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42702</v>
      </c>
      <c r="X68" s="10">
        <v>12.02</v>
      </c>
      <c r="Y68" s="10">
        <v>12.05</v>
      </c>
      <c r="Z68" s="10">
        <v>11.89</v>
      </c>
      <c r="AA68" s="10">
        <v>11.92</v>
      </c>
      <c r="AB68" s="94">
        <v>24407200</v>
      </c>
      <c r="AC68" s="10">
        <v>11.73</v>
      </c>
      <c r="AD68" s="2" t="e">
        <f>#REF!-#REF!</f>
        <v>#REF!</v>
      </c>
      <c r="AE68" s="137" t="e">
        <f>#REF!/#REF!-1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 t="e">
        <f>#REF!-#REF!</f>
        <v>#REF!</v>
      </c>
      <c r="AE69" s="137" t="e">
        <f>#REF!/AC69-1</f>
        <v>#REF!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9" t="s">
        <v>1</v>
      </c>
      <c r="B93" s="539" t="s">
        <v>2</v>
      </c>
      <c r="C93" s="539" t="s">
        <v>4</v>
      </c>
      <c r="D93" s="540" t="s">
        <v>5</v>
      </c>
      <c r="E93" s="540" t="s">
        <v>94</v>
      </c>
      <c r="F93" s="540" t="s">
        <v>60</v>
      </c>
      <c r="G93" s="539" t="s">
        <v>3</v>
      </c>
      <c r="H93" s="539" t="s">
        <v>6</v>
      </c>
      <c r="I93" s="540" t="s">
        <v>7</v>
      </c>
      <c r="J93" s="540" t="s">
        <v>95</v>
      </c>
      <c r="K93" s="540" t="s">
        <v>61</v>
      </c>
      <c r="L93" s="539" t="s">
        <v>37</v>
      </c>
      <c r="M93" s="539" t="s">
        <v>38</v>
      </c>
    </row>
    <row r="94" spans="1:13" x14ac:dyDescent="0.25">
      <c r="A94" s="541" t="s">
        <v>200</v>
      </c>
      <c r="B94" s="523">
        <v>42488</v>
      </c>
      <c r="C94" s="524">
        <v>100</v>
      </c>
      <c r="D94" s="526">
        <v>13.8</v>
      </c>
      <c r="E94" s="526">
        <v>0</v>
      </c>
      <c r="F94" s="526">
        <f t="shared" ref="F94:F100" si="9">D94*C94+E94</f>
        <v>1380</v>
      </c>
      <c r="G94" s="523">
        <v>42515</v>
      </c>
      <c r="H94" s="524">
        <v>100</v>
      </c>
      <c r="I94" s="526">
        <v>13.59</v>
      </c>
      <c r="J94" s="526">
        <v>0.03</v>
      </c>
      <c r="K94" s="526">
        <f t="shared" ref="K94:K99" si="10">I94*H94-J94</f>
        <v>1358.97</v>
      </c>
      <c r="L94" s="523">
        <v>42614</v>
      </c>
      <c r="M94" s="526">
        <v>45</v>
      </c>
    </row>
    <row r="95" spans="1:13" x14ac:dyDescent="0.25">
      <c r="A95" s="543" t="s">
        <v>71</v>
      </c>
      <c r="B95" s="523">
        <v>42507</v>
      </c>
      <c r="C95" s="524">
        <v>100</v>
      </c>
      <c r="D95" s="526">
        <v>13.08</v>
      </c>
      <c r="E95" s="526">
        <v>0</v>
      </c>
      <c r="F95" s="526">
        <f t="shared" si="9"/>
        <v>1308</v>
      </c>
      <c r="G95" s="523">
        <v>42559</v>
      </c>
      <c r="H95" s="542">
        <v>100</v>
      </c>
      <c r="I95" s="526">
        <v>13.08</v>
      </c>
      <c r="J95" s="526">
        <v>0.03</v>
      </c>
      <c r="K95" s="526">
        <f t="shared" si="10"/>
        <v>1307.97</v>
      </c>
      <c r="L95" s="523">
        <v>42705</v>
      </c>
      <c r="M95" s="526">
        <v>37.5</v>
      </c>
    </row>
    <row r="96" spans="1:13" x14ac:dyDescent="0.25">
      <c r="A96" s="524"/>
      <c r="B96" s="523">
        <v>42545</v>
      </c>
      <c r="C96" s="524">
        <v>50</v>
      </c>
      <c r="D96" s="526">
        <v>12.75</v>
      </c>
      <c r="E96" s="526">
        <v>0</v>
      </c>
      <c r="F96" s="526">
        <f t="shared" si="9"/>
        <v>637.5</v>
      </c>
      <c r="G96" s="523">
        <v>42577</v>
      </c>
      <c r="H96" s="542">
        <v>50</v>
      </c>
      <c r="I96" s="526">
        <v>13.78</v>
      </c>
      <c r="J96" s="526">
        <v>0.02</v>
      </c>
      <c r="K96" s="526">
        <f t="shared" si="10"/>
        <v>688.98</v>
      </c>
      <c r="L96" s="524"/>
      <c r="M96" s="524"/>
    </row>
    <row r="97" spans="1:13" x14ac:dyDescent="0.25">
      <c r="A97" s="524"/>
      <c r="B97" s="523">
        <v>42545</v>
      </c>
      <c r="C97" s="524">
        <v>100</v>
      </c>
      <c r="D97" s="526">
        <v>12.75</v>
      </c>
      <c r="E97" s="526">
        <v>0</v>
      </c>
      <c r="F97" s="526">
        <f t="shared" si="9"/>
        <v>1275</v>
      </c>
      <c r="G97" s="523">
        <v>42620</v>
      </c>
      <c r="H97" s="542">
        <v>100</v>
      </c>
      <c r="I97" s="526">
        <v>12.7</v>
      </c>
      <c r="J97" s="526">
        <v>0.53</v>
      </c>
      <c r="K97" s="526">
        <f t="shared" si="10"/>
        <v>1269.47</v>
      </c>
      <c r="L97" s="524"/>
      <c r="M97" s="524"/>
    </row>
    <row r="98" spans="1:13" x14ac:dyDescent="0.25">
      <c r="A98" s="524"/>
      <c r="B98" s="523">
        <v>42548</v>
      </c>
      <c r="C98" s="524">
        <v>150</v>
      </c>
      <c r="D98" s="526">
        <v>12.18</v>
      </c>
      <c r="E98" s="526">
        <v>0</v>
      </c>
      <c r="F98" s="526">
        <f t="shared" si="9"/>
        <v>1827</v>
      </c>
      <c r="G98" s="523">
        <v>42684</v>
      </c>
      <c r="H98" s="542">
        <v>250</v>
      </c>
      <c r="I98" s="526">
        <v>11.94</v>
      </c>
      <c r="J98" s="526">
        <v>7.0000000000000007E-2</v>
      </c>
      <c r="K98" s="526">
        <f t="shared" si="10"/>
        <v>2984.93</v>
      </c>
      <c r="L98" s="524"/>
      <c r="M98" s="524"/>
    </row>
    <row r="99" spans="1:13" x14ac:dyDescent="0.25">
      <c r="A99" s="524"/>
      <c r="B99" s="523">
        <v>42627</v>
      </c>
      <c r="C99" s="524">
        <v>100</v>
      </c>
      <c r="D99" s="526">
        <v>12.14</v>
      </c>
      <c r="E99" s="526">
        <v>0</v>
      </c>
      <c r="F99" s="526">
        <f t="shared" si="9"/>
        <v>1214</v>
      </c>
      <c r="G99" s="523">
        <v>42711</v>
      </c>
      <c r="H99" s="542">
        <v>200</v>
      </c>
      <c r="I99" s="526">
        <v>12.68</v>
      </c>
      <c r="J99" s="526">
        <v>0.06</v>
      </c>
      <c r="K99" s="526">
        <f t="shared" si="10"/>
        <v>2535.94</v>
      </c>
      <c r="L99" s="524"/>
      <c r="M99" s="524"/>
    </row>
    <row r="100" spans="1:13" x14ac:dyDescent="0.25">
      <c r="A100" s="524"/>
      <c r="B100" s="523">
        <v>42670</v>
      </c>
      <c r="C100" s="524">
        <v>200</v>
      </c>
      <c r="D100" s="526">
        <v>11.68</v>
      </c>
      <c r="E100" s="526">
        <v>0</v>
      </c>
      <c r="F100" s="526">
        <f t="shared" si="9"/>
        <v>2336</v>
      </c>
      <c r="G100" s="524"/>
      <c r="H100" s="542"/>
      <c r="I100" s="526"/>
      <c r="J100" s="526"/>
      <c r="K100" s="526"/>
      <c r="L100" s="524"/>
      <c r="M100" s="524"/>
    </row>
    <row r="101" spans="1:13" x14ac:dyDescent="0.25">
      <c r="A101" s="524"/>
      <c r="B101" s="524"/>
      <c r="C101" s="524"/>
      <c r="D101" s="526"/>
      <c r="E101" s="526"/>
      <c r="F101" s="526"/>
      <c r="G101" s="524"/>
      <c r="H101" s="542"/>
      <c r="I101" s="526"/>
      <c r="J101" s="526"/>
      <c r="K101" s="526"/>
      <c r="L101" s="524"/>
      <c r="M101" s="524"/>
    </row>
    <row r="102" spans="1:13" x14ac:dyDescent="0.25">
      <c r="A102" s="524"/>
      <c r="B102" s="524"/>
      <c r="C102" s="524"/>
      <c r="D102" s="526"/>
      <c r="E102" s="526"/>
      <c r="F102" s="526"/>
      <c r="G102" s="524"/>
      <c r="H102" s="542"/>
      <c r="I102" s="526"/>
      <c r="J102" s="526"/>
      <c r="K102" s="526"/>
      <c r="L102" s="524"/>
      <c r="M102" s="524"/>
    </row>
    <row r="103" spans="1:13" x14ac:dyDescent="0.25">
      <c r="A103" s="524"/>
      <c r="B103" s="524"/>
      <c r="C103" s="524"/>
      <c r="D103" s="526"/>
      <c r="E103" s="526"/>
      <c r="F103" s="526"/>
      <c r="G103" s="524"/>
      <c r="H103" s="542"/>
      <c r="I103" s="526"/>
      <c r="J103" s="526"/>
      <c r="K103" s="526"/>
      <c r="L103" s="524"/>
      <c r="M103" s="524"/>
    </row>
    <row r="104" spans="1:13" x14ac:dyDescent="0.25">
      <c r="A104" s="524"/>
      <c r="B104" s="524"/>
      <c r="C104" s="524"/>
      <c r="D104" s="526"/>
      <c r="E104" s="526"/>
      <c r="F104" s="526"/>
      <c r="G104" s="524"/>
      <c r="H104" s="542"/>
      <c r="I104" s="526"/>
      <c r="J104" s="526"/>
      <c r="K104" s="526"/>
      <c r="L104" s="524"/>
      <c r="M104" s="524"/>
    </row>
    <row r="105" spans="1:13" x14ac:dyDescent="0.25">
      <c r="A105" s="524"/>
      <c r="B105" s="524"/>
      <c r="C105" s="524"/>
      <c r="D105" s="526"/>
      <c r="E105" s="526"/>
      <c r="F105" s="526"/>
      <c r="G105" s="524"/>
      <c r="H105" s="542"/>
      <c r="I105" s="526"/>
      <c r="J105" s="526"/>
      <c r="K105" s="526"/>
      <c r="L105" s="524"/>
      <c r="M105" s="524"/>
    </row>
    <row r="106" spans="1:13" x14ac:dyDescent="0.25">
      <c r="A106" s="524"/>
      <c r="B106" s="524"/>
      <c r="C106" s="524"/>
      <c r="D106" s="526"/>
      <c r="E106" s="526"/>
      <c r="F106" s="526"/>
      <c r="G106" s="524"/>
      <c r="H106" s="542"/>
      <c r="I106" s="526"/>
      <c r="J106" s="526"/>
      <c r="K106" s="526"/>
      <c r="L106" s="524"/>
      <c r="M106" s="524"/>
    </row>
    <row r="107" spans="1:13" x14ac:dyDescent="0.25">
      <c r="A107" s="524"/>
      <c r="B107" s="524"/>
      <c r="C107" s="524"/>
      <c r="D107" s="526"/>
      <c r="E107" s="526"/>
      <c r="F107" s="526"/>
      <c r="G107" s="524"/>
      <c r="H107" s="542"/>
      <c r="I107" s="526"/>
      <c r="J107" s="526"/>
      <c r="K107" s="526"/>
      <c r="L107" s="524"/>
      <c r="M107" s="524"/>
    </row>
    <row r="108" spans="1:13" x14ac:dyDescent="0.25">
      <c r="A108" s="524"/>
      <c r="B108" s="524"/>
      <c r="C108" s="524"/>
      <c r="D108" s="526"/>
      <c r="E108" s="526"/>
      <c r="F108" s="526"/>
      <c r="G108" s="524"/>
      <c r="H108" s="542"/>
      <c r="I108" s="526"/>
      <c r="J108" s="526"/>
      <c r="K108" s="526"/>
      <c r="L108" s="524"/>
      <c r="M108" s="524"/>
    </row>
    <row r="109" spans="1:13" x14ac:dyDescent="0.25">
      <c r="A109" s="524"/>
      <c r="B109" s="524"/>
      <c r="C109" s="524"/>
      <c r="D109" s="526"/>
      <c r="E109" s="526"/>
      <c r="F109" s="526"/>
      <c r="G109" s="524"/>
      <c r="H109" s="542"/>
      <c r="I109" s="526"/>
      <c r="J109" s="526"/>
      <c r="K109" s="526"/>
      <c r="L109" s="524"/>
      <c r="M109" s="524"/>
    </row>
    <row r="110" spans="1:13" x14ac:dyDescent="0.25">
      <c r="A110" s="544" t="s">
        <v>81</v>
      </c>
      <c r="B110" s="545"/>
      <c r="C110" s="545">
        <f>SUM(C94:C100)</f>
        <v>800</v>
      </c>
      <c r="D110" s="546"/>
      <c r="E110" s="546"/>
      <c r="F110" s="546">
        <f>SUM(F94:F100)</f>
        <v>9977.5</v>
      </c>
      <c r="G110" s="545"/>
      <c r="H110" s="545">
        <f>SUM(H94:H109)</f>
        <v>800</v>
      </c>
      <c r="I110" s="546"/>
      <c r="J110" s="546"/>
      <c r="K110" s="546">
        <f>SUM(K94:K109)</f>
        <v>10146.26</v>
      </c>
      <c r="L110" s="545"/>
      <c r="M110" s="546">
        <f>SUM(M94:M109)</f>
        <v>82.5</v>
      </c>
    </row>
    <row r="111" spans="1:13" ht="15.75" thickBot="1" x14ac:dyDescent="0.3">
      <c r="A111" s="547" t="s">
        <v>197</v>
      </c>
      <c r="B111" s="548"/>
      <c r="C111" s="549">
        <f>SumByColor($A$19,C94:C109)</f>
        <v>0</v>
      </c>
      <c r="D111" s="549"/>
      <c r="E111" s="549"/>
      <c r="F111" s="550">
        <f>SumByColor($A$19,F94:F109)</f>
        <v>0</v>
      </c>
      <c r="G111" s="549"/>
      <c r="H111" s="549">
        <f>SumByColor($A$19,H94:H109)</f>
        <v>0</v>
      </c>
      <c r="I111" s="549"/>
      <c r="J111" s="549"/>
      <c r="K111" s="550">
        <f>SumByColor($A$19,K94:K109)</f>
        <v>0</v>
      </c>
      <c r="L111" s="549"/>
      <c r="M111" s="550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13" priority="25">
      <formula>F30&gt;0</formula>
    </cfRule>
    <cfRule type="expression" dxfId="812" priority="26">
      <formula>F30&lt;0</formula>
    </cfRule>
  </conditionalFormatting>
  <conditionalFormatting sqref="F34:F42 F46:F74">
    <cfRule type="expression" dxfId="811" priority="21">
      <formula>F34&gt;0</formula>
    </cfRule>
    <cfRule type="expression" dxfId="810" priority="22">
      <formula>F34&lt;0</formula>
    </cfRule>
  </conditionalFormatting>
  <conditionalFormatting sqref="F34:F42 F46:F74">
    <cfRule type="expression" dxfId="809" priority="23">
      <formula>F34&gt;0</formula>
    </cfRule>
    <cfRule type="expression" dxfId="808" priority="24">
      <formula>F34&lt;0</formula>
    </cfRule>
  </conditionalFormatting>
  <conditionalFormatting sqref="H30:H42 H46:H74">
    <cfRule type="expression" dxfId="807" priority="19">
      <formula>H30&gt;0</formula>
    </cfRule>
    <cfRule type="expression" dxfId="806" priority="20">
      <formula>H30&lt;0</formula>
    </cfRule>
  </conditionalFormatting>
  <conditionalFormatting sqref="F25:F29">
    <cfRule type="expression" dxfId="805" priority="13">
      <formula>F25&gt;0</formula>
    </cfRule>
    <cfRule type="expression" dxfId="804" priority="14">
      <formula>F25&lt;0</formula>
    </cfRule>
  </conditionalFormatting>
  <conditionalFormatting sqref="H25:H29">
    <cfRule type="expression" dxfId="803" priority="11">
      <formula>H25&gt;0</formula>
    </cfRule>
    <cfRule type="expression" dxfId="802" priority="12">
      <formula>H25&lt;0</formula>
    </cfRule>
  </conditionalFormatting>
  <conditionalFormatting sqref="Q7">
    <cfRule type="expression" dxfId="801" priority="9">
      <formula>Q7&gt;0</formula>
    </cfRule>
    <cfRule type="expression" dxfId="800" priority="10">
      <formula>Q7&lt;0</formula>
    </cfRule>
  </conditionalFormatting>
  <conditionalFormatting sqref="Q8">
    <cfRule type="expression" dxfId="799" priority="7">
      <formula>Q8&gt;0</formula>
    </cfRule>
    <cfRule type="expression" dxfId="798" priority="8">
      <formula>Q8&lt;0</formula>
    </cfRule>
  </conditionalFormatting>
  <conditionalFormatting sqref="F43:F45">
    <cfRule type="expression" dxfId="797" priority="3">
      <formula>F43&gt;0</formula>
    </cfRule>
    <cfRule type="expression" dxfId="796" priority="4">
      <formula>F43&lt;0</formula>
    </cfRule>
  </conditionalFormatting>
  <conditionalFormatting sqref="F43:F45">
    <cfRule type="expression" dxfId="795" priority="5">
      <formula>F43&gt;0</formula>
    </cfRule>
    <cfRule type="expression" dxfId="794" priority="6">
      <formula>F43&lt;0</formula>
    </cfRule>
  </conditionalFormatting>
  <conditionalFormatting sqref="H43:H45">
    <cfRule type="expression" dxfId="793" priority="1">
      <formula>H43&gt;0</formula>
    </cfRule>
    <cfRule type="expression" dxfId="792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281</v>
      </c>
      <c r="B2" s="501"/>
      <c r="C2" s="4"/>
      <c r="D2" s="3"/>
      <c r="E2" s="3"/>
      <c r="F2" s="3"/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247</v>
      </c>
      <c r="W2" s="132">
        <v>42797</v>
      </c>
      <c r="X2" s="10">
        <v>123.63</v>
      </c>
      <c r="Y2" s="10">
        <v>123.93</v>
      </c>
      <c r="Z2" s="10">
        <v>123.23</v>
      </c>
      <c r="AA2" s="10">
        <v>123.79</v>
      </c>
      <c r="AB2" s="94">
        <v>5585200</v>
      </c>
      <c r="AC2" s="10">
        <v>123.79</v>
      </c>
      <c r="AD2" s="2">
        <f>Y2-Z2</f>
        <v>0.70000000000000284</v>
      </c>
      <c r="AE2" s="137">
        <f>AC2/AC3-1</f>
        <v>1.2941842594840214E-3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126.21</v>
      </c>
      <c r="T3" s="1" t="s">
        <v>248</v>
      </c>
      <c r="W3" s="132">
        <v>42796</v>
      </c>
      <c r="X3" s="10">
        <v>123.75</v>
      </c>
      <c r="Y3" s="10">
        <v>124.36</v>
      </c>
      <c r="Z3" s="10">
        <v>123.02</v>
      </c>
      <c r="AA3" s="10">
        <v>123.63</v>
      </c>
      <c r="AB3" s="94">
        <v>6950200</v>
      </c>
      <c r="AC3" s="10">
        <v>123.63</v>
      </c>
      <c r="AD3" s="2">
        <f t="shared" ref="AD3:AD66" si="0">Y3-Z3</f>
        <v>1.3400000000000034</v>
      </c>
      <c r="AE3" s="137">
        <f t="shared" ref="AE3:AE66" si="1">AC3/AC4-1</f>
        <v>-1.8569352494752778E-3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126.21</v>
      </c>
      <c r="R4" s="499">
        <v>2.0999999999999999E-3</v>
      </c>
      <c r="T4" s="162"/>
      <c r="U4" s="1"/>
      <c r="W4" s="132">
        <v>42795</v>
      </c>
      <c r="X4" s="10">
        <v>122.49</v>
      </c>
      <c r="Y4" s="10">
        <v>124.45</v>
      </c>
      <c r="Z4" s="10">
        <v>122.42</v>
      </c>
      <c r="AA4" s="10">
        <v>123.86</v>
      </c>
      <c r="AB4" s="94">
        <v>9393900</v>
      </c>
      <c r="AC4" s="10">
        <v>123.86</v>
      </c>
      <c r="AD4" s="2">
        <f t="shared" si="0"/>
        <v>2.0300000000000011</v>
      </c>
      <c r="AE4" s="137">
        <f t="shared" si="1"/>
        <v>1.3501350135013634E-2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122.01</v>
      </c>
      <c r="Y5" s="10">
        <v>122.65</v>
      </c>
      <c r="Z5" s="10">
        <v>121.94</v>
      </c>
      <c r="AA5" s="10">
        <v>122.21</v>
      </c>
      <c r="AB5" s="94">
        <v>8885500</v>
      </c>
      <c r="AC5" s="10">
        <v>122.21</v>
      </c>
      <c r="AD5" s="2">
        <f t="shared" si="0"/>
        <v>0.71000000000000796</v>
      </c>
      <c r="AE5" s="137">
        <f t="shared" si="1"/>
        <v>-1.5522875816994519E-3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122.13</v>
      </c>
      <c r="Y6" s="10">
        <v>122.88</v>
      </c>
      <c r="Z6" s="10">
        <v>122.1</v>
      </c>
      <c r="AA6" s="10">
        <v>122.4</v>
      </c>
      <c r="AB6" s="94">
        <v>5946200</v>
      </c>
      <c r="AC6" s="10">
        <v>122.4</v>
      </c>
      <c r="AD6" s="2">
        <f t="shared" si="0"/>
        <v>0.78000000000000114</v>
      </c>
      <c r="AE6" s="137">
        <f t="shared" si="1"/>
        <v>-2.6888291371303108E-3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142.77999999999975</v>
      </c>
      <c r="R7">
        <v>0</v>
      </c>
      <c r="W7" s="132">
        <v>42790</v>
      </c>
      <c r="X7" s="10">
        <v>121.5</v>
      </c>
      <c r="Y7" s="10">
        <v>122.74</v>
      </c>
      <c r="Z7" s="10">
        <v>120.9</v>
      </c>
      <c r="AA7" s="10">
        <v>122.73</v>
      </c>
      <c r="AB7" s="94">
        <v>10835000</v>
      </c>
      <c r="AC7" s="10">
        <v>122.73</v>
      </c>
      <c r="AD7" s="2">
        <f t="shared" si="0"/>
        <v>1.8399999999999892</v>
      </c>
      <c r="AE7" s="137" t="e">
        <f t="shared" si="1"/>
        <v>#DIV/0!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42790</v>
      </c>
      <c r="X8" s="10" t="s">
        <v>282</v>
      </c>
      <c r="Y8" s="10"/>
      <c r="Z8" s="10"/>
      <c r="AA8" s="10"/>
      <c r="AB8" s="94"/>
      <c r="AC8" s="10"/>
      <c r="AD8" s="2">
        <f t="shared" si="0"/>
        <v>0</v>
      </c>
      <c r="AE8" s="137">
        <f t="shared" si="1"/>
        <v>-1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42789</v>
      </c>
      <c r="X9" s="10">
        <v>119.52</v>
      </c>
      <c r="Y9" s="10">
        <v>121.9</v>
      </c>
      <c r="Z9" s="10">
        <v>119.48</v>
      </c>
      <c r="AA9" s="10">
        <v>121.7</v>
      </c>
      <c r="AB9" s="94">
        <v>9980900</v>
      </c>
      <c r="AC9" s="10">
        <v>120.9</v>
      </c>
      <c r="AD9" s="2">
        <f t="shared" si="0"/>
        <v>2.4200000000000017</v>
      </c>
      <c r="AE9" s="137">
        <f t="shared" si="1"/>
        <v>1.8276762402088753E-2</v>
      </c>
    </row>
    <row r="10" spans="1:31" x14ac:dyDescent="0.25">
      <c r="G10" s="30"/>
      <c r="H10" s="71"/>
      <c r="O10" s="11" t="s">
        <v>212</v>
      </c>
      <c r="P10" s="34"/>
      <c r="Q10" s="2">
        <f>M74</f>
        <v>142.77999999999975</v>
      </c>
      <c r="W10" s="132">
        <v>42788</v>
      </c>
      <c r="X10" s="10">
        <v>119.28</v>
      </c>
      <c r="Y10" s="10">
        <v>119.77</v>
      </c>
      <c r="Z10" s="10">
        <v>119.25</v>
      </c>
      <c r="AA10" s="10">
        <v>119.52</v>
      </c>
      <c r="AB10" s="94">
        <v>5103900</v>
      </c>
      <c r="AC10" s="10">
        <v>118.73</v>
      </c>
      <c r="AD10" s="2">
        <f t="shared" si="0"/>
        <v>0.51999999999999602</v>
      </c>
      <c r="AE10" s="137">
        <f t="shared" si="1"/>
        <v>-1.1777572137628978E-3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2.5899999999999999E-2</v>
      </c>
      <c r="W11" s="132">
        <v>42787</v>
      </c>
      <c r="X11" s="10">
        <v>118.4</v>
      </c>
      <c r="Y11" s="10">
        <v>119.89</v>
      </c>
      <c r="Z11" s="10">
        <v>118.32</v>
      </c>
      <c r="AA11" s="10">
        <v>119.66</v>
      </c>
      <c r="AB11" s="94">
        <v>8595100</v>
      </c>
      <c r="AC11" s="10">
        <v>118.87</v>
      </c>
      <c r="AD11" s="2">
        <f t="shared" si="0"/>
        <v>1.5700000000000074</v>
      </c>
      <c r="AE11" s="137">
        <f t="shared" si="1"/>
        <v>6.6903794037940223E-3</v>
      </c>
    </row>
    <row r="12" spans="1:31" x14ac:dyDescent="0.25">
      <c r="G12" s="30"/>
      <c r="H12" s="71"/>
      <c r="W12" s="132">
        <v>42783</v>
      </c>
      <c r="X12" s="10">
        <v>118.19</v>
      </c>
      <c r="Y12" s="10">
        <v>118.9</v>
      </c>
      <c r="Z12" s="10">
        <v>118.05</v>
      </c>
      <c r="AA12" s="10">
        <v>118.86</v>
      </c>
      <c r="AB12" s="94">
        <v>8691400</v>
      </c>
      <c r="AC12" s="10">
        <v>118.08</v>
      </c>
      <c r="AD12" s="2">
        <f t="shared" si="0"/>
        <v>0.85000000000000853</v>
      </c>
      <c r="AE12" s="137">
        <f t="shared" si="1"/>
        <v>6.6496163682865372E-3</v>
      </c>
    </row>
    <row r="13" spans="1:31" x14ac:dyDescent="0.25">
      <c r="G13" s="30"/>
      <c r="H13" s="71"/>
      <c r="W13" s="132">
        <v>42782</v>
      </c>
      <c r="X13" s="10">
        <v>117</v>
      </c>
      <c r="Y13" s="10">
        <v>118.28</v>
      </c>
      <c r="Z13" s="10">
        <v>117</v>
      </c>
      <c r="AA13" s="10">
        <v>118.08</v>
      </c>
      <c r="AB13" s="94">
        <v>7119300</v>
      </c>
      <c r="AC13" s="10">
        <v>117.3</v>
      </c>
      <c r="AD13" s="2">
        <f t="shared" si="0"/>
        <v>1.2800000000000011</v>
      </c>
      <c r="AE13" s="137">
        <f t="shared" si="1"/>
        <v>7.4723009533623763E-3</v>
      </c>
    </row>
    <row r="14" spans="1:31" x14ac:dyDescent="0.25">
      <c r="G14" s="30"/>
      <c r="H14" s="71"/>
      <c r="W14" s="132">
        <v>42781</v>
      </c>
      <c r="X14" s="10">
        <v>115.9</v>
      </c>
      <c r="Y14" s="10">
        <v>117.46</v>
      </c>
      <c r="Z14" s="10">
        <v>115.59</v>
      </c>
      <c r="AA14" s="10">
        <v>117.2</v>
      </c>
      <c r="AB14" s="94">
        <v>5979700</v>
      </c>
      <c r="AC14" s="10">
        <v>116.43</v>
      </c>
      <c r="AD14" s="2">
        <f t="shared" si="0"/>
        <v>1.8699999999999903</v>
      </c>
      <c r="AE14" s="137">
        <f t="shared" si="1"/>
        <v>7.1799307958477776E-3</v>
      </c>
    </row>
    <row r="15" spans="1:31" x14ac:dyDescent="0.25">
      <c r="G15" s="30"/>
      <c r="H15" s="71"/>
      <c r="W15" s="132">
        <v>42780</v>
      </c>
      <c r="X15" s="10">
        <v>115.44</v>
      </c>
      <c r="Y15" s="10">
        <v>116.4</v>
      </c>
      <c r="Z15" s="10">
        <v>115.32</v>
      </c>
      <c r="AA15" s="10">
        <v>116.36</v>
      </c>
      <c r="AB15" s="94">
        <v>5539100</v>
      </c>
      <c r="AC15" s="10">
        <v>115.6</v>
      </c>
      <c r="AD15" s="2">
        <f t="shared" si="0"/>
        <v>1.0800000000000125</v>
      </c>
      <c r="AE15" s="137">
        <f t="shared" si="1"/>
        <v>4.1695621959694229E-3</v>
      </c>
    </row>
    <row r="16" spans="1:31" x14ac:dyDescent="0.25">
      <c r="G16" s="30"/>
      <c r="H16" s="71"/>
      <c r="W16" s="132">
        <v>42779</v>
      </c>
      <c r="X16" s="10">
        <v>115.28</v>
      </c>
      <c r="Y16" s="10">
        <v>116.12</v>
      </c>
      <c r="Z16" s="10">
        <v>115.22</v>
      </c>
      <c r="AA16" s="10">
        <v>115.88</v>
      </c>
      <c r="AB16" s="94">
        <v>5710800</v>
      </c>
      <c r="AC16" s="10">
        <v>115.12</v>
      </c>
      <c r="AD16" s="2">
        <f t="shared" si="0"/>
        <v>0.90000000000000568</v>
      </c>
      <c r="AE16" s="137">
        <f t="shared" si="1"/>
        <v>5.5904961565338418E-3</v>
      </c>
    </row>
    <row r="17" spans="1:31" x14ac:dyDescent="0.25">
      <c r="G17" s="30"/>
      <c r="W17" s="132">
        <v>42776</v>
      </c>
      <c r="X17" s="10">
        <v>114.32</v>
      </c>
      <c r="Y17" s="10">
        <v>115.99</v>
      </c>
      <c r="Z17" s="10">
        <v>114.23</v>
      </c>
      <c r="AA17" s="10">
        <v>115.24</v>
      </c>
      <c r="AB17" s="94">
        <v>6438500</v>
      </c>
      <c r="AC17" s="10">
        <v>114.48</v>
      </c>
      <c r="AD17" s="2">
        <f t="shared" si="0"/>
        <v>1.7599999999999909</v>
      </c>
      <c r="AE17" s="137">
        <f t="shared" si="1"/>
        <v>1.0147357275213986E-2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42775</v>
      </c>
      <c r="X18" s="10">
        <v>113.4</v>
      </c>
      <c r="Y18" s="10">
        <v>114.65</v>
      </c>
      <c r="Z18" s="10">
        <v>113.4</v>
      </c>
      <c r="AA18" s="10">
        <v>114.08</v>
      </c>
      <c r="AB18" s="94">
        <v>5854600</v>
      </c>
      <c r="AC18" s="10">
        <v>113.33</v>
      </c>
      <c r="AD18" s="2">
        <f t="shared" si="0"/>
        <v>1.25</v>
      </c>
      <c r="AE18" s="137">
        <f t="shared" si="1"/>
        <v>6.0363959165556924E-3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42774</v>
      </c>
      <c r="X19" s="10">
        <v>113.3</v>
      </c>
      <c r="Y19" s="10">
        <v>113.69</v>
      </c>
      <c r="Z19" s="10">
        <v>113.15</v>
      </c>
      <c r="AA19" s="10">
        <v>113.4</v>
      </c>
      <c r="AB19" s="94">
        <v>5272000</v>
      </c>
      <c r="AC19" s="10">
        <v>112.65</v>
      </c>
      <c r="AD19" s="2">
        <f t="shared" si="0"/>
        <v>0.53999999999999204</v>
      </c>
      <c r="AE19" s="137">
        <f t="shared" si="1"/>
        <v>-7.096602501551752E-4</v>
      </c>
    </row>
    <row r="20" spans="1:31" x14ac:dyDescent="0.25">
      <c r="W20" s="132">
        <v>42773</v>
      </c>
      <c r="X20" s="10">
        <v>113.6</v>
      </c>
      <c r="Y20" s="10">
        <v>113.62</v>
      </c>
      <c r="Z20" s="10">
        <v>113.05</v>
      </c>
      <c r="AA20" s="10">
        <v>113.48</v>
      </c>
      <c r="AB20" s="94">
        <v>5507900</v>
      </c>
      <c r="AC20" s="10">
        <v>112.73</v>
      </c>
      <c r="AD20" s="2">
        <f t="shared" si="0"/>
        <v>0.57000000000000739</v>
      </c>
      <c r="AE20" s="137">
        <f t="shared" si="1"/>
        <v>7.1016422547720559E-4</v>
      </c>
    </row>
    <row r="21" spans="1:31" x14ac:dyDescent="0.25">
      <c r="W21" s="132">
        <v>42772</v>
      </c>
      <c r="X21" s="10">
        <v>113.46</v>
      </c>
      <c r="Y21" s="10">
        <v>113.59</v>
      </c>
      <c r="Z21" s="10">
        <v>112.62</v>
      </c>
      <c r="AA21" s="10">
        <v>113.4</v>
      </c>
      <c r="AB21" s="94">
        <v>6178400</v>
      </c>
      <c r="AC21" s="10">
        <v>112.65</v>
      </c>
      <c r="AD21" s="2">
        <f t="shared" si="0"/>
        <v>0.96999999999999886</v>
      </c>
      <c r="AE21" s="137">
        <f t="shared" si="1"/>
        <v>-2.1259633271325518E-3</v>
      </c>
    </row>
    <row r="22" spans="1:31" x14ac:dyDescent="0.25">
      <c r="W22" s="132">
        <v>42769</v>
      </c>
      <c r="X22" s="10">
        <v>113.5</v>
      </c>
      <c r="Y22" s="10">
        <v>113.66</v>
      </c>
      <c r="Z22" s="10">
        <v>112.66</v>
      </c>
      <c r="AA22" s="10">
        <v>113.64</v>
      </c>
      <c r="AB22" s="94">
        <v>7267600</v>
      </c>
      <c r="AC22" s="10">
        <v>112.89</v>
      </c>
      <c r="AD22" s="2">
        <f t="shared" si="0"/>
        <v>1</v>
      </c>
      <c r="AE22" s="137">
        <f t="shared" si="1"/>
        <v>6.2045736571536558E-4</v>
      </c>
    </row>
    <row r="23" spans="1:31" x14ac:dyDescent="0.25">
      <c r="W23" s="132">
        <v>42768</v>
      </c>
      <c r="X23" s="10">
        <v>112.82</v>
      </c>
      <c r="Y23" s="10">
        <v>113.62</v>
      </c>
      <c r="Z23" s="10">
        <v>112.77</v>
      </c>
      <c r="AA23" s="10">
        <v>113.57</v>
      </c>
      <c r="AB23" s="94">
        <v>7826300</v>
      </c>
      <c r="AC23" s="10">
        <v>112.82</v>
      </c>
      <c r="AD23" s="2">
        <f t="shared" si="0"/>
        <v>0.85000000000000853</v>
      </c>
      <c r="AE23" s="137">
        <f t="shared" si="1"/>
        <v>2.9335940972530228E-3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42767</v>
      </c>
      <c r="X24" s="10">
        <v>112.48</v>
      </c>
      <c r="Y24" s="10">
        <v>113.32</v>
      </c>
      <c r="Z24" s="10">
        <v>112.47</v>
      </c>
      <c r="AA24" s="10">
        <v>113.23</v>
      </c>
      <c r="AB24" s="94">
        <v>7082300</v>
      </c>
      <c r="AC24" s="10">
        <v>112.49</v>
      </c>
      <c r="AD24" s="2">
        <f t="shared" si="0"/>
        <v>0.84999999999999432</v>
      </c>
      <c r="AE24" s="137">
        <f t="shared" si="1"/>
        <v>-1.7776197671326432E-4</v>
      </c>
    </row>
    <row r="25" spans="1:31" x14ac:dyDescent="0.25">
      <c r="A25" s="4"/>
      <c r="B25" s="156"/>
      <c r="C25" s="10"/>
      <c r="D25" s="40"/>
      <c r="E25" s="40"/>
      <c r="F25" s="40"/>
      <c r="G25" s="40"/>
      <c r="H25" s="230"/>
      <c r="I25" s="40"/>
      <c r="W25" s="132">
        <v>42766</v>
      </c>
      <c r="X25" s="10">
        <v>112.79</v>
      </c>
      <c r="Y25" s="10">
        <v>113.4</v>
      </c>
      <c r="Z25" s="10">
        <v>112.43</v>
      </c>
      <c r="AA25" s="10">
        <v>113.25</v>
      </c>
      <c r="AB25" s="94">
        <v>8713400</v>
      </c>
      <c r="AC25" s="10">
        <v>112.51</v>
      </c>
      <c r="AD25" s="2">
        <f t="shared" si="0"/>
        <v>0.96999999999999886</v>
      </c>
      <c r="AE25" s="137">
        <f t="shared" si="1"/>
        <v>1.0677106504137779E-3</v>
      </c>
    </row>
    <row r="26" spans="1:31" x14ac:dyDescent="0.25">
      <c r="A26" s="4"/>
      <c r="B26" s="156"/>
      <c r="C26" s="10"/>
      <c r="D26" s="40"/>
      <c r="E26" s="40"/>
      <c r="F26" s="40"/>
      <c r="G26" s="40"/>
      <c r="H26" s="230"/>
      <c r="I26" s="40"/>
      <c r="W26" s="132">
        <v>42765</v>
      </c>
      <c r="X26" s="10">
        <v>113.4</v>
      </c>
      <c r="Y26" s="10">
        <v>113.6</v>
      </c>
      <c r="Z26" s="10">
        <v>112.85</v>
      </c>
      <c r="AA26" s="10">
        <v>113.13</v>
      </c>
      <c r="AB26" s="94">
        <v>6969400</v>
      </c>
      <c r="AC26" s="10">
        <v>112.39</v>
      </c>
      <c r="AD26" s="2">
        <f t="shared" si="0"/>
        <v>0.75</v>
      </c>
      <c r="AE26" s="137">
        <f t="shared" si="1"/>
        <v>-2.1308709935186076E-3</v>
      </c>
    </row>
    <row r="27" spans="1:31" x14ac:dyDescent="0.25">
      <c r="A27" s="4"/>
      <c r="B27" s="156"/>
      <c r="C27" s="10"/>
      <c r="D27" s="40"/>
      <c r="E27" s="40"/>
      <c r="F27" s="40"/>
      <c r="G27" s="40"/>
      <c r="H27" s="230"/>
      <c r="I27" s="40"/>
      <c r="W27" s="132">
        <v>42762</v>
      </c>
      <c r="X27" s="10">
        <v>112</v>
      </c>
      <c r="Y27" s="10">
        <v>113.54</v>
      </c>
      <c r="Z27" s="10">
        <v>111.9</v>
      </c>
      <c r="AA27" s="10">
        <v>113.38</v>
      </c>
      <c r="AB27" s="94">
        <v>8886100</v>
      </c>
      <c r="AC27" s="10">
        <v>112.63</v>
      </c>
      <c r="AD27" s="2">
        <f t="shared" si="0"/>
        <v>1.6400000000000006</v>
      </c>
      <c r="AE27" s="137">
        <f t="shared" si="1"/>
        <v>1.3771377137713703E-2</v>
      </c>
    </row>
    <row r="28" spans="1:31" x14ac:dyDescent="0.25">
      <c r="A28" s="4"/>
      <c r="B28" s="156"/>
      <c r="C28" s="10"/>
      <c r="D28" s="40"/>
      <c r="E28" s="40"/>
      <c r="F28" s="40"/>
      <c r="G28" s="40"/>
      <c r="H28" s="230"/>
      <c r="I28" s="40"/>
      <c r="W28" s="132">
        <v>42761</v>
      </c>
      <c r="X28" s="10">
        <v>112</v>
      </c>
      <c r="Y28" s="10">
        <v>112.84</v>
      </c>
      <c r="Z28" s="10">
        <v>111.6</v>
      </c>
      <c r="AA28" s="10">
        <v>111.84</v>
      </c>
      <c r="AB28" s="94">
        <v>10164300</v>
      </c>
      <c r="AC28" s="10">
        <v>111.1</v>
      </c>
      <c r="AD28" s="2">
        <f t="shared" si="0"/>
        <v>1.2400000000000091</v>
      </c>
      <c r="AE28" s="137">
        <f t="shared" si="1"/>
        <v>-8.5668391932893773E-3</v>
      </c>
    </row>
    <row r="29" spans="1:31" x14ac:dyDescent="0.25">
      <c r="A29" s="4"/>
      <c r="B29" s="156"/>
      <c r="C29" s="10"/>
      <c r="D29" s="40"/>
      <c r="E29" s="40"/>
      <c r="F29" s="40"/>
      <c r="G29" s="40"/>
      <c r="H29" s="230"/>
      <c r="I29" s="40"/>
      <c r="W29" s="132">
        <v>42760</v>
      </c>
      <c r="X29" s="10">
        <v>111.93</v>
      </c>
      <c r="Y29" s="10">
        <v>112.8</v>
      </c>
      <c r="Z29" s="10">
        <v>110.76</v>
      </c>
      <c r="AA29" s="10">
        <v>112.8</v>
      </c>
      <c r="AB29" s="94">
        <v>9385500</v>
      </c>
      <c r="AC29" s="10">
        <v>112.06</v>
      </c>
      <c r="AD29" s="2">
        <f t="shared" si="0"/>
        <v>2.039999999999992</v>
      </c>
      <c r="AE29" s="137">
        <f t="shared" si="1"/>
        <v>9.2767720435917855E-3</v>
      </c>
    </row>
    <row r="30" spans="1:31" x14ac:dyDescent="0.25">
      <c r="A30" s="4"/>
      <c r="B30" s="156"/>
      <c r="C30" s="10"/>
      <c r="D30" s="40"/>
      <c r="E30" s="40"/>
      <c r="F30" s="40"/>
      <c r="G30" s="40"/>
      <c r="H30" s="230"/>
      <c r="I30" s="40"/>
      <c r="W30" s="132">
        <v>42759</v>
      </c>
      <c r="X30" s="10">
        <v>112.91</v>
      </c>
      <c r="Y30" s="10">
        <v>113.3</v>
      </c>
      <c r="Z30" s="10">
        <v>111.15</v>
      </c>
      <c r="AA30" s="10">
        <v>111.76</v>
      </c>
      <c r="AB30" s="94">
        <v>12450300</v>
      </c>
      <c r="AC30" s="10">
        <v>111.03</v>
      </c>
      <c r="AD30" s="2">
        <f t="shared" si="0"/>
        <v>2.1499999999999915</v>
      </c>
      <c r="AE30" s="137">
        <f t="shared" si="1"/>
        <v>-1.8822905620360486E-2</v>
      </c>
    </row>
    <row r="31" spans="1:31" x14ac:dyDescent="0.25">
      <c r="A31" s="4"/>
      <c r="B31" s="156"/>
      <c r="C31" s="10"/>
      <c r="D31" s="40"/>
      <c r="E31" s="40"/>
      <c r="F31" s="40"/>
      <c r="G31" s="40"/>
      <c r="H31" s="230"/>
      <c r="I31" s="40"/>
      <c r="W31" s="132">
        <v>42758</v>
      </c>
      <c r="X31" s="10">
        <v>114.51</v>
      </c>
      <c r="Y31" s="10">
        <v>114.77</v>
      </c>
      <c r="Z31" s="10">
        <v>113.8</v>
      </c>
      <c r="AA31" s="10">
        <v>113.91</v>
      </c>
      <c r="AB31" s="94">
        <v>7989800</v>
      </c>
      <c r="AC31" s="10">
        <v>113.16</v>
      </c>
      <c r="AD31" s="2">
        <f t="shared" si="0"/>
        <v>0.96999999999999886</v>
      </c>
      <c r="AE31" s="137">
        <f t="shared" si="1"/>
        <v>-2.1164021164021829E-3</v>
      </c>
    </row>
    <row r="32" spans="1:31" x14ac:dyDescent="0.25">
      <c r="A32" s="4"/>
      <c r="B32" s="156"/>
      <c r="C32" s="10"/>
      <c r="D32" s="40"/>
      <c r="E32" s="40"/>
      <c r="F32" s="40"/>
      <c r="G32" s="40"/>
      <c r="H32" s="230"/>
      <c r="I32" s="40"/>
      <c r="W32" s="132">
        <v>42755</v>
      </c>
      <c r="X32" s="10">
        <v>114.49</v>
      </c>
      <c r="Y32" s="10">
        <v>115.03</v>
      </c>
      <c r="Z32" s="10">
        <v>114.08</v>
      </c>
      <c r="AA32" s="10">
        <v>114.15</v>
      </c>
      <c r="AB32" s="94">
        <v>7502400</v>
      </c>
      <c r="AC32" s="10">
        <v>113.4</v>
      </c>
      <c r="AD32" s="2">
        <f t="shared" si="0"/>
        <v>0.95000000000000284</v>
      </c>
      <c r="AE32" s="137">
        <f t="shared" si="1"/>
        <v>-4.4072278536799736E-4</v>
      </c>
    </row>
    <row r="33" spans="1:31" x14ac:dyDescent="0.25">
      <c r="A33" s="4"/>
      <c r="B33" s="156"/>
      <c r="C33" s="10"/>
      <c r="D33" s="40"/>
      <c r="E33" s="40"/>
      <c r="F33" s="40"/>
      <c r="G33" s="40"/>
      <c r="H33" s="230"/>
      <c r="I33" s="40"/>
      <c r="W33" s="132">
        <v>42754</v>
      </c>
      <c r="X33" s="10">
        <v>114.68</v>
      </c>
      <c r="Y33" s="10">
        <v>114.9</v>
      </c>
      <c r="Z33" s="10">
        <v>113.92</v>
      </c>
      <c r="AA33" s="10">
        <v>114.2</v>
      </c>
      <c r="AB33" s="94">
        <v>5540800</v>
      </c>
      <c r="AC33" s="10">
        <v>113.45</v>
      </c>
      <c r="AD33" s="2">
        <f t="shared" si="0"/>
        <v>0.98000000000000398</v>
      </c>
      <c r="AE33" s="137">
        <f t="shared" si="1"/>
        <v>-4.3878894251865308E-3</v>
      </c>
    </row>
    <row r="34" spans="1:31" x14ac:dyDescent="0.25">
      <c r="A34" s="4"/>
      <c r="B34" s="156"/>
      <c r="C34" s="10"/>
      <c r="D34" s="40"/>
      <c r="E34" s="40"/>
      <c r="F34" s="40"/>
      <c r="G34" s="40"/>
      <c r="H34" s="230"/>
      <c r="I34" s="40"/>
      <c r="W34" s="132">
        <v>42753</v>
      </c>
      <c r="X34" s="10">
        <v>114.87</v>
      </c>
      <c r="Y34" s="10">
        <v>115.1</v>
      </c>
      <c r="Z34" s="10">
        <v>114.41</v>
      </c>
      <c r="AA34" s="10">
        <v>114.7</v>
      </c>
      <c r="AB34" s="94">
        <v>5014600</v>
      </c>
      <c r="AC34" s="10">
        <v>113.95</v>
      </c>
      <c r="AD34" s="2">
        <f t="shared" si="0"/>
        <v>0.68999999999999773</v>
      </c>
      <c r="AE34" s="137">
        <f t="shared" si="1"/>
        <v>-1.4021558145648205E-3</v>
      </c>
    </row>
    <row r="35" spans="1:31" x14ac:dyDescent="0.25">
      <c r="A35" s="4"/>
      <c r="B35" s="156"/>
      <c r="C35" s="10"/>
      <c r="D35" s="40"/>
      <c r="E35" s="40"/>
      <c r="F35" s="40"/>
      <c r="G35" s="40"/>
      <c r="H35" s="230"/>
      <c r="I35" s="40"/>
      <c r="W35" s="132">
        <v>42752</v>
      </c>
      <c r="X35" s="10">
        <v>113.94</v>
      </c>
      <c r="Y35" s="10">
        <v>115.05</v>
      </c>
      <c r="Z35" s="10">
        <v>113.67</v>
      </c>
      <c r="AA35" s="10">
        <v>114.87</v>
      </c>
      <c r="AB35" s="94">
        <v>6255400</v>
      </c>
      <c r="AC35" s="10">
        <v>114.11</v>
      </c>
      <c r="AD35" s="2">
        <f t="shared" si="0"/>
        <v>1.3799999999999955</v>
      </c>
      <c r="AE35" s="137">
        <f t="shared" si="1"/>
        <v>2.283706631532656E-3</v>
      </c>
    </row>
    <row r="36" spans="1:31" x14ac:dyDescent="0.25">
      <c r="A36" s="4"/>
      <c r="B36" s="156"/>
      <c r="C36" s="10"/>
      <c r="D36" s="40"/>
      <c r="E36" s="40"/>
      <c r="F36" s="40"/>
      <c r="G36" s="40"/>
      <c r="H36" s="230"/>
      <c r="I36" s="40"/>
      <c r="W36" s="132">
        <v>42748</v>
      </c>
      <c r="X36" s="10">
        <v>114.94</v>
      </c>
      <c r="Y36" s="10">
        <v>115.02</v>
      </c>
      <c r="Z36" s="10">
        <v>114.44</v>
      </c>
      <c r="AA36" s="10">
        <v>114.6</v>
      </c>
      <c r="AB36" s="94">
        <v>4935200</v>
      </c>
      <c r="AC36" s="10">
        <v>113.85</v>
      </c>
      <c r="AD36" s="2">
        <f t="shared" si="0"/>
        <v>0.57999999999999829</v>
      </c>
      <c r="AE36" s="137">
        <f t="shared" si="1"/>
        <v>-1.7563888644955838E-4</v>
      </c>
    </row>
    <row r="37" spans="1:31" x14ac:dyDescent="0.25">
      <c r="B37" s="156"/>
      <c r="C37" s="10"/>
      <c r="D37" s="40"/>
      <c r="E37" s="40"/>
      <c r="F37" s="40"/>
      <c r="G37" s="40"/>
      <c r="H37" s="230"/>
      <c r="I37" s="40"/>
      <c r="W37" s="132">
        <v>42747</v>
      </c>
      <c r="X37" s="10">
        <v>114.27</v>
      </c>
      <c r="Y37" s="10">
        <v>114.73</v>
      </c>
      <c r="Z37" s="10">
        <v>113.37</v>
      </c>
      <c r="AA37" s="10">
        <v>114.62</v>
      </c>
      <c r="AB37" s="94">
        <v>6627300</v>
      </c>
      <c r="AC37" s="10">
        <v>113.87</v>
      </c>
      <c r="AD37" s="2">
        <f t="shared" si="0"/>
        <v>1.3599999999999994</v>
      </c>
      <c r="AE37" s="137">
        <f t="shared" si="1"/>
        <v>-9.6508159326191834E-4</v>
      </c>
    </row>
    <row r="38" spans="1:31" x14ac:dyDescent="0.25">
      <c r="B38" s="156"/>
      <c r="C38" s="10"/>
      <c r="D38" s="40"/>
      <c r="E38" s="40"/>
      <c r="F38" s="40"/>
      <c r="G38" s="40"/>
      <c r="H38" s="230"/>
      <c r="I38" s="40"/>
      <c r="W38" s="132">
        <v>42746</v>
      </c>
      <c r="X38" s="10">
        <v>116.08</v>
      </c>
      <c r="Y38" s="10">
        <v>116.25</v>
      </c>
      <c r="Z38" s="10">
        <v>114.02</v>
      </c>
      <c r="AA38" s="10">
        <v>114.73</v>
      </c>
      <c r="AB38" s="94">
        <v>8887200</v>
      </c>
      <c r="AC38" s="10">
        <v>113.98</v>
      </c>
      <c r="AD38" s="2">
        <f t="shared" si="0"/>
        <v>2.230000000000004</v>
      </c>
      <c r="AE38" s="137">
        <f t="shared" si="1"/>
        <v>-1.2305025996533825E-2</v>
      </c>
    </row>
    <row r="39" spans="1:31" x14ac:dyDescent="0.25">
      <c r="B39" s="156"/>
      <c r="C39" s="10"/>
      <c r="D39" s="40"/>
      <c r="E39" s="40"/>
      <c r="F39" s="40"/>
      <c r="G39" s="40"/>
      <c r="H39" s="230"/>
      <c r="I39" s="40"/>
      <c r="W39" s="132">
        <v>42745</v>
      </c>
      <c r="X39" s="10">
        <v>116.03</v>
      </c>
      <c r="Y39" s="10">
        <v>117</v>
      </c>
      <c r="Z39" s="10">
        <v>115.87</v>
      </c>
      <c r="AA39" s="10">
        <v>116.16</v>
      </c>
      <c r="AB39" s="94">
        <v>5312800</v>
      </c>
      <c r="AC39" s="10">
        <v>115.4</v>
      </c>
      <c r="AD39" s="2">
        <f t="shared" si="0"/>
        <v>1.1299999999999955</v>
      </c>
      <c r="AE39" s="137">
        <f t="shared" si="1"/>
        <v>-1.0387811634348099E-3</v>
      </c>
    </row>
    <row r="40" spans="1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42744</v>
      </c>
      <c r="X40" s="10">
        <v>116.35</v>
      </c>
      <c r="Y40" s="10">
        <v>116.61</v>
      </c>
      <c r="Z40" s="10">
        <v>115.89</v>
      </c>
      <c r="AA40" s="10">
        <v>116.28</v>
      </c>
      <c r="AB40" s="94">
        <v>5436600</v>
      </c>
      <c r="AC40" s="10">
        <v>115.52</v>
      </c>
      <c r="AD40" s="2">
        <f t="shared" si="0"/>
        <v>0.71999999999999886</v>
      </c>
      <c r="AE40" s="137">
        <f t="shared" si="1"/>
        <v>-1.7310022503036482E-4</v>
      </c>
    </row>
    <row r="41" spans="1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138.83100000000002</v>
      </c>
      <c r="Q41" s="2"/>
      <c r="W41" s="132">
        <v>42741</v>
      </c>
      <c r="X41" s="10">
        <v>116.67</v>
      </c>
      <c r="Y41" s="10">
        <v>117</v>
      </c>
      <c r="Z41" s="10">
        <v>115.76</v>
      </c>
      <c r="AA41" s="10">
        <v>116.3</v>
      </c>
      <c r="AB41" s="94">
        <v>5221400</v>
      </c>
      <c r="AC41" s="10">
        <v>115.54</v>
      </c>
      <c r="AD41" s="2">
        <f t="shared" si="0"/>
        <v>1.2399999999999949</v>
      </c>
      <c r="AE41" s="137">
        <f t="shared" si="1"/>
        <v>-4.7377035059005257E-3</v>
      </c>
    </row>
    <row r="42" spans="1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137.56890000000001</v>
      </c>
      <c r="Q42" s="2"/>
      <c r="T42" s="90" t="s">
        <v>113</v>
      </c>
      <c r="W42" s="132">
        <v>42740</v>
      </c>
      <c r="X42" s="10">
        <v>116</v>
      </c>
      <c r="Y42" s="10">
        <v>116.97</v>
      </c>
      <c r="Z42" s="10">
        <v>115.44</v>
      </c>
      <c r="AA42" s="10">
        <v>116.86</v>
      </c>
      <c r="AB42" s="94">
        <v>6217200</v>
      </c>
      <c r="AC42" s="10">
        <v>116.09</v>
      </c>
      <c r="AD42" s="2">
        <f t="shared" si="0"/>
        <v>1.5300000000000011</v>
      </c>
      <c r="AE42" s="137">
        <f t="shared" si="1"/>
        <v>1.044477326138038E-2</v>
      </c>
    </row>
    <row r="43" spans="1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136.30680000000001</v>
      </c>
      <c r="Q43" s="2"/>
      <c r="T43" s="127" t="s">
        <v>98</v>
      </c>
      <c r="U43" s="128">
        <v>123.63</v>
      </c>
      <c r="W43" s="132">
        <v>42739</v>
      </c>
      <c r="X43" s="10">
        <v>115.5</v>
      </c>
      <c r="Y43" s="10">
        <v>116.23</v>
      </c>
      <c r="Z43" s="10">
        <v>115.31</v>
      </c>
      <c r="AA43" s="10">
        <v>115.65</v>
      </c>
      <c r="AB43" s="94">
        <v>5828900</v>
      </c>
      <c r="AC43" s="10">
        <v>114.89</v>
      </c>
      <c r="AD43" s="2">
        <f t="shared" si="0"/>
        <v>0.92000000000000171</v>
      </c>
      <c r="AE43" s="137">
        <f t="shared" si="1"/>
        <v>-1.6510253736531366E-3</v>
      </c>
    </row>
    <row r="44" spans="1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135.04470000000001</v>
      </c>
      <c r="Q44" s="2"/>
      <c r="T44" s="92" t="s">
        <v>99</v>
      </c>
      <c r="U44" s="129">
        <v>123.41</v>
      </c>
      <c r="W44" s="132">
        <v>42738</v>
      </c>
      <c r="X44" s="10">
        <v>115.78</v>
      </c>
      <c r="Y44" s="10">
        <v>116</v>
      </c>
      <c r="Z44" s="10">
        <v>115.23</v>
      </c>
      <c r="AA44" s="10">
        <v>115.84</v>
      </c>
      <c r="AB44" s="94">
        <v>5953000</v>
      </c>
      <c r="AC44" s="10">
        <v>115.08</v>
      </c>
      <c r="AD44" s="2">
        <f t="shared" si="0"/>
        <v>0.76999999999999602</v>
      </c>
      <c r="AE44" s="137">
        <f t="shared" si="1"/>
        <v>5.5045871559633586E-3</v>
      </c>
    </row>
    <row r="45" spans="1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133.7826</v>
      </c>
      <c r="Q45" s="2"/>
      <c r="T45" s="92" t="s">
        <v>100</v>
      </c>
      <c r="U45" s="129" t="s">
        <v>129</v>
      </c>
      <c r="W45" s="132">
        <v>42734</v>
      </c>
      <c r="X45" s="10">
        <v>115.8</v>
      </c>
      <c r="Y45" s="10">
        <v>115.99</v>
      </c>
      <c r="Z45" s="10">
        <v>114.98</v>
      </c>
      <c r="AA45" s="10">
        <v>115.21</v>
      </c>
      <c r="AB45" s="94">
        <v>5506700</v>
      </c>
      <c r="AC45" s="10">
        <v>114.45</v>
      </c>
      <c r="AD45" s="2">
        <f t="shared" si="0"/>
        <v>1.0099999999999909</v>
      </c>
      <c r="AE45" s="137">
        <f t="shared" si="1"/>
        <v>-2.4405125076265577E-3</v>
      </c>
    </row>
    <row r="46" spans="1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132.5205</v>
      </c>
      <c r="Q46" s="2"/>
      <c r="T46" s="92" t="s">
        <v>101</v>
      </c>
      <c r="U46" s="129" t="s">
        <v>129</v>
      </c>
      <c r="W46" s="132">
        <v>42733</v>
      </c>
      <c r="X46" s="10">
        <v>115.23</v>
      </c>
      <c r="Y46" s="10">
        <v>115.87</v>
      </c>
      <c r="Z46" s="10">
        <v>115.01</v>
      </c>
      <c r="AA46" s="10">
        <v>115.49</v>
      </c>
      <c r="AB46" s="94">
        <v>2993600</v>
      </c>
      <c r="AC46" s="10">
        <v>114.73</v>
      </c>
      <c r="AD46" s="2">
        <f t="shared" si="0"/>
        <v>0.85999999999999943</v>
      </c>
      <c r="AE46" s="137">
        <f t="shared" si="1"/>
        <v>3.4108798320797717E-3</v>
      </c>
    </row>
    <row r="47" spans="1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2"/>
        <v>131.25839999999999</v>
      </c>
      <c r="Q47" s="2"/>
      <c r="T47" s="92" t="s">
        <v>102</v>
      </c>
      <c r="U47" s="129">
        <v>125.33</v>
      </c>
      <c r="W47" s="132">
        <v>42732</v>
      </c>
      <c r="X47" s="10">
        <v>115.88</v>
      </c>
      <c r="Y47" s="10">
        <v>116.16</v>
      </c>
      <c r="Z47" s="10">
        <v>115.05</v>
      </c>
      <c r="AA47" s="10">
        <v>115.1</v>
      </c>
      <c r="AB47" s="94">
        <v>3278300</v>
      </c>
      <c r="AC47" s="10">
        <v>114.34</v>
      </c>
      <c r="AD47" s="2">
        <f t="shared" si="0"/>
        <v>1.1099999999999994</v>
      </c>
      <c r="AE47" s="137">
        <f t="shared" si="1"/>
        <v>-7.0343030829352893E-3</v>
      </c>
    </row>
    <row r="48" spans="1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129.99629999999999</v>
      </c>
      <c r="Q48" s="2"/>
      <c r="T48" s="92" t="s">
        <v>103</v>
      </c>
      <c r="U48" s="129">
        <v>0.67624099999999998</v>
      </c>
      <c r="W48" s="132">
        <v>42731</v>
      </c>
      <c r="X48" s="10">
        <v>115.89</v>
      </c>
      <c r="Y48" s="10">
        <v>116</v>
      </c>
      <c r="Z48" s="10">
        <v>115.38</v>
      </c>
      <c r="AA48" s="10">
        <v>115.91</v>
      </c>
      <c r="AB48" s="94">
        <v>3232600</v>
      </c>
      <c r="AC48" s="10">
        <v>115.15</v>
      </c>
      <c r="AD48" s="2">
        <f t="shared" si="0"/>
        <v>0.62000000000000455</v>
      </c>
      <c r="AE48" s="137">
        <f t="shared" si="1"/>
        <v>-4.3402777777779011E-4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128.73419999999999</v>
      </c>
      <c r="Q49" s="2"/>
      <c r="T49" s="92" t="s">
        <v>104</v>
      </c>
      <c r="U49" s="129" t="s">
        <v>400</v>
      </c>
      <c r="W49" s="132">
        <v>42727</v>
      </c>
      <c r="X49" s="10">
        <v>115.4</v>
      </c>
      <c r="Y49" s="10">
        <v>116.32</v>
      </c>
      <c r="Z49" s="10">
        <v>115.3</v>
      </c>
      <c r="AA49" s="10">
        <v>115.96</v>
      </c>
      <c r="AB49" s="94">
        <v>2992500</v>
      </c>
      <c r="AC49" s="10">
        <v>115.2</v>
      </c>
      <c r="AD49" s="2">
        <f t="shared" si="0"/>
        <v>1.019999999999996</v>
      </c>
      <c r="AE49" s="137">
        <f t="shared" si="1"/>
        <v>4.5343564701778583E-3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127.4721</v>
      </c>
      <c r="Q50" s="2"/>
      <c r="T50" s="92"/>
      <c r="U50" s="129"/>
      <c r="W50" s="132">
        <v>42726</v>
      </c>
      <c r="X50" s="10">
        <v>115</v>
      </c>
      <c r="Y50" s="10">
        <v>115.53</v>
      </c>
      <c r="Z50" s="10">
        <v>113.88</v>
      </c>
      <c r="AA50" s="10">
        <v>115.44</v>
      </c>
      <c r="AB50" s="94">
        <v>4602300</v>
      </c>
      <c r="AC50" s="10">
        <v>114.68</v>
      </c>
      <c r="AD50" s="2">
        <f t="shared" si="0"/>
        <v>1.6500000000000057</v>
      </c>
      <c r="AE50" s="137">
        <f t="shared" si="1"/>
        <v>1.1348756001747784E-3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126.21</v>
      </c>
      <c r="Q51" s="2"/>
      <c r="T51" s="92" t="s">
        <v>105</v>
      </c>
      <c r="U51" s="129" t="s">
        <v>635</v>
      </c>
      <c r="W51" s="132">
        <v>42725</v>
      </c>
      <c r="X51" s="10">
        <v>116.2</v>
      </c>
      <c r="Y51" s="10">
        <v>116.2</v>
      </c>
      <c r="Z51" s="10">
        <v>114.74</v>
      </c>
      <c r="AA51" s="10">
        <v>115.31</v>
      </c>
      <c r="AB51" s="94">
        <v>5907600</v>
      </c>
      <c r="AC51" s="10">
        <v>114.55</v>
      </c>
      <c r="AD51" s="2">
        <f t="shared" si="0"/>
        <v>1.460000000000008</v>
      </c>
      <c r="AE51" s="137">
        <f t="shared" si="1"/>
        <v>-3.0461270670149032E-3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124.94789999999999</v>
      </c>
      <c r="Q52" s="2"/>
      <c r="T52" s="92" t="s">
        <v>106</v>
      </c>
      <c r="U52" s="129" t="s">
        <v>557</v>
      </c>
      <c r="W52" s="132">
        <v>42724</v>
      </c>
      <c r="X52" s="10">
        <v>115.98</v>
      </c>
      <c r="Y52" s="10">
        <v>116.25</v>
      </c>
      <c r="Z52" s="10">
        <v>114.91</v>
      </c>
      <c r="AA52" s="10">
        <v>115.66</v>
      </c>
      <c r="AB52" s="94">
        <v>5715200</v>
      </c>
      <c r="AC52" s="10">
        <v>114.9</v>
      </c>
      <c r="AD52" s="2">
        <f t="shared" si="0"/>
        <v>1.3400000000000034</v>
      </c>
      <c r="AE52" s="137">
        <f t="shared" si="1"/>
        <v>-3.123373243102523E-3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123.68579999999999</v>
      </c>
      <c r="Q53" s="2"/>
      <c r="T53" s="92" t="s">
        <v>107</v>
      </c>
      <c r="U53" s="130">
        <v>5593811</v>
      </c>
      <c r="W53" s="132">
        <v>42723</v>
      </c>
      <c r="X53" s="10">
        <v>116.07</v>
      </c>
      <c r="Y53" s="10">
        <v>116.66</v>
      </c>
      <c r="Z53" s="10">
        <v>115.94</v>
      </c>
      <c r="AA53" s="10">
        <v>116.02</v>
      </c>
      <c r="AB53" s="94">
        <v>6310800</v>
      </c>
      <c r="AC53" s="10">
        <v>115.26</v>
      </c>
      <c r="AD53" s="2">
        <f t="shared" si="0"/>
        <v>0.71999999999999886</v>
      </c>
      <c r="AE53" s="137">
        <f t="shared" si="1"/>
        <v>1.2161223071578409E-3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122.4237</v>
      </c>
      <c r="T54" s="92" t="s">
        <v>110</v>
      </c>
      <c r="U54" s="130">
        <v>6930640</v>
      </c>
      <c r="W54" s="132">
        <v>42720</v>
      </c>
      <c r="X54" s="10">
        <v>116.41</v>
      </c>
      <c r="Y54" s="10">
        <v>116.46</v>
      </c>
      <c r="Z54" s="10">
        <v>115.46</v>
      </c>
      <c r="AA54" s="10">
        <v>115.88</v>
      </c>
      <c r="AB54" s="94">
        <v>11291100</v>
      </c>
      <c r="AC54" s="10">
        <v>115.12</v>
      </c>
      <c r="AD54" s="2">
        <f t="shared" si="0"/>
        <v>1</v>
      </c>
      <c r="AE54" s="137">
        <f t="shared" si="1"/>
        <v>-8.6858334057082764E-5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121.16159999999999</v>
      </c>
      <c r="T55" s="92" t="s">
        <v>108</v>
      </c>
      <c r="U55" s="129" t="s">
        <v>636</v>
      </c>
      <c r="W55" s="132">
        <v>42719</v>
      </c>
      <c r="X55" s="10">
        <v>115.33</v>
      </c>
      <c r="Y55" s="10">
        <v>115.92</v>
      </c>
      <c r="Z55" s="10">
        <v>114.89</v>
      </c>
      <c r="AA55" s="10">
        <v>115.89</v>
      </c>
      <c r="AB55" s="94">
        <v>6738100</v>
      </c>
      <c r="AC55" s="10">
        <v>115.13</v>
      </c>
      <c r="AD55" s="2">
        <f t="shared" si="0"/>
        <v>1.0300000000000011</v>
      </c>
      <c r="AE55" s="137">
        <f t="shared" si="1"/>
        <v>7.878840934955722E-3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119.89949999999999</v>
      </c>
      <c r="T56" s="92" t="s">
        <v>111</v>
      </c>
      <c r="U56" s="129">
        <v>20.88</v>
      </c>
      <c r="W56" s="132">
        <v>42718</v>
      </c>
      <c r="X56" s="10">
        <v>116.12</v>
      </c>
      <c r="Y56" s="10">
        <v>117.3</v>
      </c>
      <c r="Z56" s="10">
        <v>114.58</v>
      </c>
      <c r="AA56" s="10">
        <v>114.99</v>
      </c>
      <c r="AB56" s="94">
        <v>9378700</v>
      </c>
      <c r="AC56" s="10">
        <v>114.23</v>
      </c>
      <c r="AD56" s="2">
        <f t="shared" si="0"/>
        <v>2.7199999999999989</v>
      </c>
      <c r="AE56" s="137">
        <f t="shared" si="1"/>
        <v>-7.817250065143666E-3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118.63739999999999</v>
      </c>
      <c r="T57" s="92" t="s">
        <v>112</v>
      </c>
      <c r="U57" s="129">
        <v>5.93</v>
      </c>
      <c r="W57" s="132">
        <v>42717</v>
      </c>
      <c r="X57" s="10">
        <v>115.53</v>
      </c>
      <c r="Y57" s="10">
        <v>115.97</v>
      </c>
      <c r="Z57" s="10">
        <v>115.01</v>
      </c>
      <c r="AA57" s="10">
        <v>115.89</v>
      </c>
      <c r="AB57" s="94">
        <v>7051600</v>
      </c>
      <c r="AC57" s="10">
        <v>115.13</v>
      </c>
      <c r="AD57" s="2">
        <f t="shared" si="0"/>
        <v>0.95999999999999375</v>
      </c>
      <c r="AE57" s="137">
        <f t="shared" si="1"/>
        <v>4.6247818499127735E-3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117.3753</v>
      </c>
      <c r="T58" s="92" t="s">
        <v>109</v>
      </c>
      <c r="U58" s="129" t="s">
        <v>637</v>
      </c>
      <c r="W58" s="132">
        <v>42716</v>
      </c>
      <c r="X58" s="10">
        <v>112.69</v>
      </c>
      <c r="Y58" s="10">
        <v>115.4</v>
      </c>
      <c r="Z58" s="10">
        <v>112.58</v>
      </c>
      <c r="AA58" s="10">
        <v>115.36</v>
      </c>
      <c r="AB58" s="94">
        <v>9544600</v>
      </c>
      <c r="AC58" s="10">
        <v>114.6</v>
      </c>
      <c r="AD58" s="2">
        <f t="shared" si="0"/>
        <v>2.8200000000000074</v>
      </c>
      <c r="AE58" s="137">
        <f t="shared" si="1"/>
        <v>2.7618364418938279E-2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116.11320000000001</v>
      </c>
      <c r="W59" s="132">
        <v>42713</v>
      </c>
      <c r="X59" s="10">
        <v>111.41</v>
      </c>
      <c r="Y59" s="10">
        <v>112.43</v>
      </c>
      <c r="Z59" s="10">
        <v>111.2</v>
      </c>
      <c r="AA59" s="10">
        <v>112.26</v>
      </c>
      <c r="AB59" s="94">
        <v>7672100</v>
      </c>
      <c r="AC59" s="10">
        <v>111.52</v>
      </c>
      <c r="AD59" s="2">
        <f t="shared" si="0"/>
        <v>1.230000000000004</v>
      </c>
      <c r="AE59" s="137">
        <f t="shared" si="1"/>
        <v>1.142753491746773E-2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114.8511</v>
      </c>
      <c r="W60" s="132">
        <v>42712</v>
      </c>
      <c r="X60" s="10">
        <v>110.54</v>
      </c>
      <c r="Y60" s="10">
        <v>111.2</v>
      </c>
      <c r="Z60" s="10">
        <v>109.93</v>
      </c>
      <c r="AA60" s="10">
        <v>110.99</v>
      </c>
      <c r="AB60" s="94">
        <v>7774900</v>
      </c>
      <c r="AC60" s="10">
        <v>110.26</v>
      </c>
      <c r="AD60" s="2">
        <f t="shared" si="0"/>
        <v>1.269999999999996</v>
      </c>
      <c r="AE60" s="137">
        <f t="shared" si="1"/>
        <v>-9.9664763975715331E-4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113.589</v>
      </c>
      <c r="W61" s="132">
        <v>42711</v>
      </c>
      <c r="X61" s="10">
        <v>111.89</v>
      </c>
      <c r="Y61" s="10">
        <v>111.89</v>
      </c>
      <c r="Z61" s="10">
        <v>109.32</v>
      </c>
      <c r="AA61" s="10">
        <v>111.1</v>
      </c>
      <c r="AB61" s="94">
        <v>11761100</v>
      </c>
      <c r="AC61" s="10">
        <v>110.37</v>
      </c>
      <c r="AD61" s="2">
        <f t="shared" si="0"/>
        <v>2.5700000000000074</v>
      </c>
      <c r="AE61" s="137">
        <f t="shared" si="1"/>
        <v>-8.533956162414591E-3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42710</v>
      </c>
      <c r="X62" s="10">
        <v>112.24</v>
      </c>
      <c r="Y62" s="10">
        <v>113.2</v>
      </c>
      <c r="Z62" s="10">
        <v>111.85</v>
      </c>
      <c r="AA62" s="10">
        <v>112.06</v>
      </c>
      <c r="AB62" s="94">
        <v>6530400</v>
      </c>
      <c r="AC62" s="10">
        <v>111.32</v>
      </c>
      <c r="AD62" s="2">
        <f t="shared" si="0"/>
        <v>1.3500000000000085</v>
      </c>
      <c r="AE62" s="137">
        <f t="shared" si="1"/>
        <v>1.0791366906472977E-3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42709</v>
      </c>
      <c r="X63" s="10">
        <v>112.4</v>
      </c>
      <c r="Y63" s="10">
        <v>112.42</v>
      </c>
      <c r="Z63" s="10">
        <v>111.73</v>
      </c>
      <c r="AA63" s="10">
        <v>111.94</v>
      </c>
      <c r="AB63" s="94">
        <v>5451600</v>
      </c>
      <c r="AC63" s="10">
        <v>111.2</v>
      </c>
      <c r="AD63" s="2">
        <f t="shared" si="0"/>
        <v>0.68999999999999773</v>
      </c>
      <c r="AE63" s="137">
        <f t="shared" si="1"/>
        <v>-1.7982377270275851E-4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42706</v>
      </c>
      <c r="X64" s="10">
        <v>111.72</v>
      </c>
      <c r="Y64" s="10">
        <v>112.53</v>
      </c>
      <c r="Z64" s="10">
        <v>111.44</v>
      </c>
      <c r="AA64" s="10">
        <v>111.96</v>
      </c>
      <c r="AB64" s="94">
        <v>6167700</v>
      </c>
      <c r="AC64" s="10">
        <v>111.22</v>
      </c>
      <c r="AD64" s="2">
        <f t="shared" si="0"/>
        <v>1.0900000000000034</v>
      </c>
      <c r="AE64" s="137">
        <f t="shared" si="1"/>
        <v>5.1513782196113134E-3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W65" s="132">
        <v>42705</v>
      </c>
      <c r="X65" s="10">
        <v>111.36</v>
      </c>
      <c r="Y65" s="10">
        <v>111.54</v>
      </c>
      <c r="Z65" s="10">
        <v>111</v>
      </c>
      <c r="AA65" s="10">
        <v>111.38</v>
      </c>
      <c r="AB65" s="94">
        <v>8143300</v>
      </c>
      <c r="AC65" s="10">
        <v>110.65</v>
      </c>
      <c r="AD65" s="2">
        <f t="shared" si="0"/>
        <v>0.54000000000000625</v>
      </c>
      <c r="AE65" s="137">
        <f t="shared" si="1"/>
        <v>7.2352355973603899E-4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W66" s="132">
        <v>42704</v>
      </c>
      <c r="X66" s="10">
        <v>112.19</v>
      </c>
      <c r="Y66" s="10">
        <v>112.52</v>
      </c>
      <c r="Z66" s="10">
        <v>111.3</v>
      </c>
      <c r="AA66" s="10">
        <v>111.3</v>
      </c>
      <c r="AB66" s="94">
        <v>11178500</v>
      </c>
      <c r="AC66" s="10">
        <v>110.57</v>
      </c>
      <c r="AD66" s="2">
        <f t="shared" si="0"/>
        <v>1.2199999999999989</v>
      </c>
      <c r="AE66" s="137">
        <f t="shared" si="1"/>
        <v>-1.0470735636298523E-2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W67" s="132">
        <v>42703</v>
      </c>
      <c r="X67" s="10">
        <v>112.95</v>
      </c>
      <c r="Y67" s="10">
        <v>113.41</v>
      </c>
      <c r="Z67" s="10">
        <v>112.17</v>
      </c>
      <c r="AA67" s="10">
        <v>112.48</v>
      </c>
      <c r="AB67" s="94">
        <v>7799600</v>
      </c>
      <c r="AC67" s="10">
        <v>111.74</v>
      </c>
      <c r="AD67" s="2">
        <f>Y67-Z67</f>
        <v>1.2399999999999949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W68" s="132">
        <v>42702</v>
      </c>
      <c r="X68" s="10">
        <v>113.79</v>
      </c>
      <c r="Y68" s="10">
        <v>114.12</v>
      </c>
      <c r="Z68" s="10">
        <v>113.05</v>
      </c>
      <c r="AA68" s="10">
        <v>113.13</v>
      </c>
      <c r="AB68" s="94">
        <v>9065700</v>
      </c>
      <c r="AC68" s="10">
        <v>112.39</v>
      </c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4" spans="1:31" x14ac:dyDescent="0.25">
      <c r="L74" t="s">
        <v>65</v>
      </c>
      <c r="M74" s="2">
        <f>M92+K92-F92</f>
        <v>142.77999999999975</v>
      </c>
    </row>
    <row r="75" spans="1:31" x14ac:dyDescent="0.25">
      <c r="A75" s="384" t="s">
        <v>1</v>
      </c>
      <c r="B75" s="676" t="s">
        <v>2</v>
      </c>
      <c r="C75" s="384" t="s">
        <v>4</v>
      </c>
      <c r="D75" s="386" t="s">
        <v>5</v>
      </c>
      <c r="E75" s="386" t="s">
        <v>94</v>
      </c>
      <c r="F75" s="386" t="s">
        <v>60</v>
      </c>
      <c r="G75" s="384" t="s">
        <v>3</v>
      </c>
      <c r="H75" s="384" t="s">
        <v>6</v>
      </c>
      <c r="I75" s="386" t="s">
        <v>7</v>
      </c>
      <c r="J75" s="386" t="s">
        <v>95</v>
      </c>
      <c r="K75" s="386" t="s">
        <v>61</v>
      </c>
      <c r="L75" s="384" t="s">
        <v>37</v>
      </c>
      <c r="M75" s="384" t="s">
        <v>38</v>
      </c>
    </row>
    <row r="76" spans="1:31" x14ac:dyDescent="0.25">
      <c r="A76" s="387" t="s">
        <v>281</v>
      </c>
      <c r="B76" s="666">
        <v>42622</v>
      </c>
      <c r="C76" s="378">
        <v>15</v>
      </c>
      <c r="D76" s="379">
        <v>118.5</v>
      </c>
      <c r="E76" s="379">
        <v>0</v>
      </c>
      <c r="F76" s="379">
        <f>C76*D76+E76</f>
        <v>1777.5</v>
      </c>
      <c r="G76" s="666">
        <v>42760</v>
      </c>
      <c r="H76" s="382">
        <v>15</v>
      </c>
      <c r="I76" s="379">
        <v>112.7</v>
      </c>
      <c r="J76" s="379">
        <v>0.04</v>
      </c>
      <c r="K76" s="379">
        <f>H76*I76-J76</f>
        <v>1690.46</v>
      </c>
      <c r="L76" s="377">
        <v>42710</v>
      </c>
      <c r="M76" s="379">
        <v>16</v>
      </c>
    </row>
    <row r="77" spans="1:31" x14ac:dyDescent="0.25">
      <c r="A77" s="388" t="s">
        <v>71</v>
      </c>
      <c r="B77" s="666">
        <v>42622</v>
      </c>
      <c r="C77" s="378">
        <v>5</v>
      </c>
      <c r="D77" s="379">
        <v>118.5</v>
      </c>
      <c r="E77" s="379">
        <v>0</v>
      </c>
      <c r="F77" s="379">
        <f>C77*D77+E77</f>
        <v>592.5</v>
      </c>
      <c r="G77" s="666">
        <v>42776</v>
      </c>
      <c r="H77" s="382">
        <v>15</v>
      </c>
      <c r="I77" s="379">
        <v>115.18</v>
      </c>
      <c r="J77" s="379">
        <v>0.04</v>
      </c>
      <c r="K77" s="379">
        <f>H77*I77-J77</f>
        <v>1727.66</v>
      </c>
      <c r="L77" s="378"/>
      <c r="M77" s="378"/>
    </row>
    <row r="78" spans="1:31" x14ac:dyDescent="0.25">
      <c r="A78" s="378"/>
      <c r="B78" s="666">
        <v>42704</v>
      </c>
      <c r="C78" s="378">
        <v>10</v>
      </c>
      <c r="D78" s="379">
        <v>111.48</v>
      </c>
      <c r="E78" s="379">
        <v>0</v>
      </c>
      <c r="F78" s="379">
        <f>C78*D78+E78</f>
        <v>1114.8</v>
      </c>
      <c r="G78" s="666">
        <v>42796</v>
      </c>
      <c r="H78" s="382">
        <v>15</v>
      </c>
      <c r="I78" s="379">
        <v>124.08</v>
      </c>
      <c r="J78" s="379">
        <v>0.04</v>
      </c>
      <c r="K78" s="379">
        <f>H78*I78-J78</f>
        <v>1861.16</v>
      </c>
      <c r="L78" s="378"/>
      <c r="M78" s="378"/>
    </row>
    <row r="79" spans="1:31" x14ac:dyDescent="0.25">
      <c r="A79" s="378"/>
      <c r="B79" s="666">
        <v>42759</v>
      </c>
      <c r="C79" s="378">
        <v>15</v>
      </c>
      <c r="D79" s="379">
        <v>111.18</v>
      </c>
      <c r="E79" s="379">
        <v>0</v>
      </c>
      <c r="F79" s="379">
        <f>C79*D79+E79</f>
        <v>1667.7</v>
      </c>
      <c r="G79" s="666"/>
      <c r="H79" s="382"/>
      <c r="I79" s="379"/>
      <c r="J79" s="379"/>
      <c r="K79" s="379"/>
      <c r="L79" s="378"/>
      <c r="M79" s="378"/>
    </row>
    <row r="80" spans="1:31" x14ac:dyDescent="0.25">
      <c r="A80" s="378"/>
      <c r="B80" s="666"/>
      <c r="C80" s="378"/>
      <c r="D80" s="379"/>
      <c r="E80" s="379"/>
      <c r="F80" s="379"/>
      <c r="G80" s="666"/>
      <c r="H80" s="382"/>
      <c r="I80" s="379"/>
      <c r="J80" s="379"/>
      <c r="K80" s="379"/>
      <c r="L80" s="378"/>
      <c r="M80" s="378"/>
    </row>
    <row r="81" spans="1:13" x14ac:dyDescent="0.25">
      <c r="A81" s="378"/>
      <c r="B81" s="666"/>
      <c r="C81" s="378"/>
      <c r="D81" s="379"/>
      <c r="E81" s="379"/>
      <c r="F81" s="379"/>
      <c r="G81" s="666"/>
      <c r="H81" s="382"/>
      <c r="I81" s="379"/>
      <c r="J81" s="379"/>
      <c r="K81" s="379"/>
      <c r="L81" s="378"/>
      <c r="M81" s="378"/>
    </row>
    <row r="82" spans="1:13" x14ac:dyDescent="0.25">
      <c r="A82" s="378"/>
      <c r="B82" s="666"/>
      <c r="C82" s="378"/>
      <c r="D82" s="379"/>
      <c r="E82" s="379"/>
      <c r="F82" s="379"/>
      <c r="G82" s="666"/>
      <c r="H82" s="382"/>
      <c r="I82" s="379"/>
      <c r="J82" s="379"/>
      <c r="K82" s="379"/>
      <c r="L82" s="378"/>
      <c r="M82" s="378"/>
    </row>
    <row r="83" spans="1:13" x14ac:dyDescent="0.25">
      <c r="A83" s="378"/>
      <c r="B83" s="666"/>
      <c r="C83" s="378"/>
      <c r="D83" s="379"/>
      <c r="E83" s="379"/>
      <c r="F83" s="379"/>
      <c r="G83" s="666"/>
      <c r="H83" s="382"/>
      <c r="I83" s="379"/>
      <c r="J83" s="379"/>
      <c r="K83" s="379"/>
      <c r="L83" s="378"/>
      <c r="M83" s="378"/>
    </row>
    <row r="84" spans="1:13" x14ac:dyDescent="0.25">
      <c r="A84" s="378"/>
      <c r="B84" s="666"/>
      <c r="C84" s="378"/>
      <c r="D84" s="379"/>
      <c r="E84" s="379"/>
      <c r="F84" s="379"/>
      <c r="G84" s="666"/>
      <c r="H84" s="382"/>
      <c r="I84" s="379"/>
      <c r="J84" s="379"/>
      <c r="K84" s="379"/>
      <c r="L84" s="378"/>
      <c r="M84" s="378"/>
    </row>
    <row r="85" spans="1:13" x14ac:dyDescent="0.25">
      <c r="A85" s="378"/>
      <c r="B85" s="666"/>
      <c r="C85" s="378"/>
      <c r="D85" s="379"/>
      <c r="E85" s="379"/>
      <c r="F85" s="379"/>
      <c r="G85" s="666"/>
      <c r="H85" s="382"/>
      <c r="I85" s="379"/>
      <c r="J85" s="379"/>
      <c r="K85" s="379"/>
      <c r="L85" s="378"/>
      <c r="M85" s="378"/>
    </row>
    <row r="86" spans="1:13" x14ac:dyDescent="0.25">
      <c r="A86" s="378"/>
      <c r="B86" s="666"/>
      <c r="C86" s="378"/>
      <c r="D86" s="379"/>
      <c r="E86" s="379"/>
      <c r="F86" s="379"/>
      <c r="G86" s="666"/>
      <c r="H86" s="382"/>
      <c r="I86" s="379"/>
      <c r="J86" s="379"/>
      <c r="K86" s="379"/>
      <c r="L86" s="378"/>
      <c r="M86" s="378"/>
    </row>
    <row r="87" spans="1:13" x14ac:dyDescent="0.25">
      <c r="A87" s="378"/>
      <c r="B87" s="666"/>
      <c r="C87" s="378"/>
      <c r="D87" s="379"/>
      <c r="E87" s="379"/>
      <c r="F87" s="379"/>
      <c r="G87" s="666"/>
      <c r="H87" s="382"/>
      <c r="I87" s="379"/>
      <c r="J87" s="379"/>
      <c r="K87" s="379"/>
      <c r="L87" s="378"/>
      <c r="M87" s="378"/>
    </row>
    <row r="88" spans="1:13" x14ac:dyDescent="0.25">
      <c r="A88" s="378"/>
      <c r="B88" s="666"/>
      <c r="C88" s="378"/>
      <c r="D88" s="379"/>
      <c r="E88" s="379"/>
      <c r="F88" s="379"/>
      <c r="G88" s="666"/>
      <c r="H88" s="382"/>
      <c r="I88" s="379"/>
      <c r="J88" s="379"/>
      <c r="K88" s="379"/>
      <c r="L88" s="378"/>
      <c r="M88" s="378"/>
    </row>
    <row r="89" spans="1:13" x14ac:dyDescent="0.25">
      <c r="A89" s="378"/>
      <c r="B89" s="666"/>
      <c r="C89" s="378"/>
      <c r="D89" s="379"/>
      <c r="E89" s="379"/>
      <c r="F89" s="379"/>
      <c r="G89" s="666"/>
      <c r="H89" s="382"/>
      <c r="I89" s="379"/>
      <c r="J89" s="379"/>
      <c r="K89" s="379"/>
      <c r="L89" s="378"/>
      <c r="M89" s="378"/>
    </row>
    <row r="90" spans="1:13" x14ac:dyDescent="0.25">
      <c r="A90" s="378"/>
      <c r="B90" s="666"/>
      <c r="C90" s="378"/>
      <c r="D90" s="379"/>
      <c r="E90" s="379"/>
      <c r="F90" s="379"/>
      <c r="G90" s="666"/>
      <c r="H90" s="382"/>
      <c r="I90" s="379"/>
      <c r="J90" s="379"/>
      <c r="K90" s="379"/>
      <c r="L90" s="378"/>
      <c r="M90" s="378"/>
    </row>
    <row r="91" spans="1:13" x14ac:dyDescent="0.25">
      <c r="A91" s="378"/>
      <c r="B91" s="666"/>
      <c r="C91" s="378"/>
      <c r="D91" s="379"/>
      <c r="E91" s="379"/>
      <c r="F91" s="379"/>
      <c r="G91" s="666"/>
      <c r="H91" s="378"/>
      <c r="I91" s="379"/>
      <c r="J91" s="379"/>
      <c r="K91" s="379"/>
      <c r="L91" s="378"/>
      <c r="M91" s="378"/>
    </row>
    <row r="92" spans="1:13" x14ac:dyDescent="0.25">
      <c r="A92" s="22" t="s">
        <v>81</v>
      </c>
      <c r="B92" s="677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16</v>
      </c>
    </row>
    <row r="93" spans="1:13" ht="15.75" thickBot="1" x14ac:dyDescent="0.3">
      <c r="A93" s="467" t="s">
        <v>197</v>
      </c>
      <c r="B93" s="678"/>
      <c r="C93" s="469">
        <f>SumByColor($A$19,C76:C91)</f>
        <v>0</v>
      </c>
      <c r="D93" s="469"/>
      <c r="E93" s="469"/>
      <c r="F93" s="470">
        <f>SumByColor($A$19,F76:F91)</f>
        <v>0</v>
      </c>
      <c r="G93" s="469"/>
      <c r="H93" s="469">
        <f>SumByColor($A$19,H76:H91)</f>
        <v>0</v>
      </c>
      <c r="I93" s="469"/>
      <c r="J93" s="469"/>
      <c r="K93" s="470">
        <f>SumByColor($A$19,K76:K91)</f>
        <v>0</v>
      </c>
      <c r="L93" s="469"/>
      <c r="M93" s="470">
        <f>SumByColor($A$19,M76:M91)</f>
        <v>0</v>
      </c>
    </row>
    <row r="102" spans="1:12" x14ac:dyDescent="0.25">
      <c r="A102" s="378"/>
      <c r="B102" s="666"/>
      <c r="C102" s="378"/>
      <c r="D102" s="379"/>
      <c r="E102" s="379"/>
      <c r="F102" s="379"/>
      <c r="G102" s="378"/>
      <c r="H102" s="378"/>
      <c r="I102" s="379"/>
      <c r="J102" s="379"/>
      <c r="K102" s="379"/>
      <c r="L102" s="378"/>
    </row>
    <row r="103" spans="1:12" x14ac:dyDescent="0.25">
      <c r="A103" s="378"/>
      <c r="B103" s="666"/>
      <c r="C103" s="378"/>
      <c r="D103" s="379"/>
      <c r="E103" s="379"/>
      <c r="F103" s="379"/>
      <c r="G103" s="378"/>
      <c r="H103" s="378"/>
      <c r="I103" s="379"/>
      <c r="J103" s="379"/>
      <c r="K103" s="379"/>
      <c r="L103" s="378"/>
    </row>
    <row r="104" spans="1:12" x14ac:dyDescent="0.25">
      <c r="A104" s="378"/>
      <c r="B104" s="664" t="s">
        <v>114</v>
      </c>
      <c r="C104" s="511" t="s">
        <v>147</v>
      </c>
      <c r="D104" s="512" t="s">
        <v>146</v>
      </c>
      <c r="E104" s="513" t="s">
        <v>148</v>
      </c>
      <c r="F104" s="513" t="s">
        <v>65</v>
      </c>
      <c r="G104" s="515" t="s">
        <v>152</v>
      </c>
      <c r="H104" s="515" t="s">
        <v>88</v>
      </c>
      <c r="I104" s="515" t="s">
        <v>155</v>
      </c>
      <c r="J104" s="379"/>
      <c r="K104" s="379"/>
      <c r="L104" s="378"/>
    </row>
    <row r="105" spans="1:12" x14ac:dyDescent="0.25">
      <c r="A105" s="378"/>
      <c r="B105" s="666">
        <v>42622</v>
      </c>
      <c r="C105" s="378">
        <v>20</v>
      </c>
      <c r="D105" s="379">
        <v>118.5</v>
      </c>
      <c r="E105" s="379">
        <v>118.23</v>
      </c>
      <c r="F105" s="379">
        <f t="shared" ref="F105:F117" si="3">C105*(E105-D105)</f>
        <v>-5.3999999999999204</v>
      </c>
      <c r="G105" s="379">
        <f t="shared" ref="G105:G117" si="4">D105*C105</f>
        <v>2370</v>
      </c>
      <c r="H105" s="380">
        <f t="shared" ref="H105:H117" si="5">(E105-D105)/D105</f>
        <v>-2.2784810126581941E-3</v>
      </c>
      <c r="I105" s="379"/>
      <c r="J105" s="379"/>
      <c r="K105" s="379"/>
      <c r="L105" s="378"/>
    </row>
    <row r="106" spans="1:12" x14ac:dyDescent="0.25">
      <c r="A106" s="378"/>
      <c r="B106" s="666">
        <v>42627</v>
      </c>
      <c r="C106" s="378">
        <v>20</v>
      </c>
      <c r="D106" s="379">
        <v>118.5</v>
      </c>
      <c r="E106" s="379">
        <v>117.86</v>
      </c>
      <c r="F106" s="379">
        <f t="shared" si="3"/>
        <v>-12.800000000000011</v>
      </c>
      <c r="G106" s="379">
        <f t="shared" si="4"/>
        <v>2370</v>
      </c>
      <c r="H106" s="380">
        <f t="shared" si="5"/>
        <v>-5.400843881856545E-3</v>
      </c>
      <c r="I106" s="379"/>
      <c r="J106" s="379"/>
      <c r="K106" s="379"/>
      <c r="L106" s="378"/>
    </row>
    <row r="107" spans="1:12" x14ac:dyDescent="0.25">
      <c r="A107" s="378"/>
      <c r="B107" s="666">
        <v>42634</v>
      </c>
      <c r="C107" s="378">
        <v>20</v>
      </c>
      <c r="D107" s="379">
        <v>118.5</v>
      </c>
      <c r="E107" s="379">
        <v>118.91</v>
      </c>
      <c r="F107" s="379">
        <f t="shared" si="3"/>
        <v>8.1999999999999318</v>
      </c>
      <c r="G107" s="379">
        <f t="shared" si="4"/>
        <v>2370</v>
      </c>
      <c r="H107" s="380">
        <f t="shared" si="5"/>
        <v>3.4599156118143171E-3</v>
      </c>
      <c r="I107" s="379"/>
      <c r="J107" s="379"/>
      <c r="K107" s="379"/>
      <c r="L107" s="378"/>
    </row>
    <row r="108" spans="1:12" x14ac:dyDescent="0.25">
      <c r="A108" s="378"/>
      <c r="B108" s="666">
        <v>42651</v>
      </c>
      <c r="C108" s="378">
        <v>20</v>
      </c>
      <c r="D108" s="379">
        <v>118.5</v>
      </c>
      <c r="E108" s="379">
        <v>119.24</v>
      </c>
      <c r="F108" s="379">
        <f t="shared" si="3"/>
        <v>14.799999999999898</v>
      </c>
      <c r="G108" s="379">
        <f t="shared" si="4"/>
        <v>2370</v>
      </c>
      <c r="H108" s="380">
        <f t="shared" si="5"/>
        <v>6.2447257383965813E-3</v>
      </c>
      <c r="I108" s="379"/>
      <c r="J108" s="379"/>
      <c r="K108" s="379"/>
      <c r="L108" s="378"/>
    </row>
    <row r="109" spans="1:12" x14ac:dyDescent="0.25">
      <c r="A109" s="378"/>
      <c r="B109" s="666">
        <v>42664</v>
      </c>
      <c r="C109" s="378">
        <v>20</v>
      </c>
      <c r="D109" s="379">
        <v>118.5</v>
      </c>
      <c r="E109" s="379">
        <v>113.44</v>
      </c>
      <c r="F109" s="379">
        <f t="shared" si="3"/>
        <v>-101.20000000000005</v>
      </c>
      <c r="G109" s="379">
        <f t="shared" si="4"/>
        <v>2370</v>
      </c>
      <c r="H109" s="380">
        <f t="shared" si="5"/>
        <v>-4.2700421940928289E-2</v>
      </c>
      <c r="I109" s="379"/>
      <c r="J109" s="379"/>
      <c r="K109" s="379"/>
      <c r="L109" s="378"/>
    </row>
    <row r="110" spans="1:12" x14ac:dyDescent="0.25">
      <c r="A110" s="378"/>
      <c r="B110" s="666">
        <v>42674</v>
      </c>
      <c r="C110" s="378">
        <v>20</v>
      </c>
      <c r="D110" s="379">
        <v>118.5</v>
      </c>
      <c r="E110" s="379">
        <v>115.99</v>
      </c>
      <c r="F110" s="379">
        <f t="shared" si="3"/>
        <v>-50.200000000000102</v>
      </c>
      <c r="G110" s="379">
        <f t="shared" si="4"/>
        <v>2370</v>
      </c>
      <c r="H110" s="380">
        <f t="shared" si="5"/>
        <v>-2.1181434599156161E-2</v>
      </c>
      <c r="I110" s="379"/>
      <c r="J110" s="379"/>
      <c r="K110" s="379"/>
      <c r="L110" s="378"/>
    </row>
    <row r="111" spans="1:12" x14ac:dyDescent="0.25">
      <c r="A111" s="378"/>
      <c r="B111" s="666">
        <v>42702</v>
      </c>
      <c r="C111" s="378">
        <v>20</v>
      </c>
      <c r="D111" s="379">
        <v>118.5</v>
      </c>
      <c r="E111" s="379">
        <v>114.13</v>
      </c>
      <c r="F111" s="379">
        <f t="shared" si="3"/>
        <v>-87.400000000000091</v>
      </c>
      <c r="G111" s="379">
        <f t="shared" si="4"/>
        <v>2370</v>
      </c>
      <c r="H111" s="380">
        <f t="shared" si="5"/>
        <v>-3.6877637130801728E-2</v>
      </c>
      <c r="I111" s="379"/>
      <c r="J111" s="379"/>
      <c r="K111" s="379"/>
      <c r="L111" s="378"/>
    </row>
    <row r="112" spans="1:12" x14ac:dyDescent="0.25">
      <c r="A112" s="378"/>
      <c r="B112" s="666">
        <v>42704</v>
      </c>
      <c r="C112" s="378">
        <v>30</v>
      </c>
      <c r="D112" s="379">
        <v>116.16</v>
      </c>
      <c r="E112" s="379">
        <v>111.3</v>
      </c>
      <c r="F112" s="379">
        <f t="shared" si="3"/>
        <v>-145.79999999999998</v>
      </c>
      <c r="G112" s="379">
        <f t="shared" si="4"/>
        <v>3484.7999999999997</v>
      </c>
      <c r="H112" s="380">
        <f t="shared" si="5"/>
        <v>-4.1838842975206611E-2</v>
      </c>
      <c r="I112" s="379"/>
      <c r="J112" s="379"/>
      <c r="K112" s="379"/>
      <c r="L112" s="378"/>
    </row>
    <row r="113" spans="1:12" x14ac:dyDescent="0.25">
      <c r="A113" s="378"/>
      <c r="B113" s="666">
        <v>42711</v>
      </c>
      <c r="C113" s="378">
        <v>30</v>
      </c>
      <c r="D113" s="379">
        <v>115.6267</v>
      </c>
      <c r="E113" s="379">
        <v>111.1</v>
      </c>
      <c r="F113" s="379">
        <f t="shared" si="3"/>
        <v>-135.80100000000016</v>
      </c>
      <c r="G113" s="379">
        <f t="shared" si="4"/>
        <v>3468.8009999999999</v>
      </c>
      <c r="H113" s="380">
        <f t="shared" si="5"/>
        <v>-3.9149262237874169E-2</v>
      </c>
      <c r="I113" s="466"/>
      <c r="J113" s="379"/>
      <c r="K113" s="379"/>
      <c r="L113" s="378"/>
    </row>
    <row r="114" spans="1:12" x14ac:dyDescent="0.25">
      <c r="A114" s="378"/>
      <c r="B114" s="666">
        <v>42759</v>
      </c>
      <c r="C114" s="378">
        <v>45</v>
      </c>
      <c r="D114" s="379">
        <v>114.14530000000001</v>
      </c>
      <c r="E114" s="379">
        <v>111.89</v>
      </c>
      <c r="F114" s="379">
        <f t="shared" si="3"/>
        <v>-101.48850000000024</v>
      </c>
      <c r="G114" s="379">
        <f t="shared" si="4"/>
        <v>5136.5385000000006</v>
      </c>
      <c r="H114" s="380">
        <f t="shared" si="5"/>
        <v>-1.9758150357483011E-2</v>
      </c>
      <c r="I114" s="379">
        <v>110</v>
      </c>
      <c r="J114" s="379"/>
      <c r="K114" s="379"/>
      <c r="L114" s="378"/>
    </row>
    <row r="115" spans="1:12" x14ac:dyDescent="0.25">
      <c r="A115" s="378" t="s">
        <v>404</v>
      </c>
      <c r="B115" s="666">
        <v>42760</v>
      </c>
      <c r="C115" s="378">
        <v>30</v>
      </c>
      <c r="D115" s="379">
        <v>114.86799999999999</v>
      </c>
      <c r="E115" s="379">
        <v>112.8</v>
      </c>
      <c r="F115" s="379">
        <f t="shared" si="3"/>
        <v>-62.039999999999935</v>
      </c>
      <c r="G115" s="379">
        <f t="shared" si="4"/>
        <v>3446.04</v>
      </c>
      <c r="H115" s="380">
        <f t="shared" si="5"/>
        <v>-1.8003273322422242E-2</v>
      </c>
      <c r="I115" s="379"/>
      <c r="J115" s="379"/>
      <c r="K115" s="379"/>
      <c r="L115" s="378"/>
    </row>
    <row r="116" spans="1:12" x14ac:dyDescent="0.25">
      <c r="A116" s="378" t="s">
        <v>450</v>
      </c>
      <c r="B116" s="666">
        <v>42761</v>
      </c>
      <c r="C116" s="378">
        <v>30</v>
      </c>
      <c r="D116" s="379">
        <v>114.86799999999999</v>
      </c>
      <c r="E116" s="379">
        <v>113.64</v>
      </c>
      <c r="F116" s="379">
        <f t="shared" si="3"/>
        <v>-36.839999999999833</v>
      </c>
      <c r="G116" s="379">
        <f t="shared" si="4"/>
        <v>3446.04</v>
      </c>
      <c r="H116" s="380">
        <f t="shared" si="5"/>
        <v>-1.0690531740780674E-2</v>
      </c>
      <c r="I116" s="379"/>
      <c r="J116" s="379"/>
      <c r="K116" s="379"/>
      <c r="L116" s="378"/>
    </row>
    <row r="117" spans="1:12" x14ac:dyDescent="0.25">
      <c r="A117" s="378" t="s">
        <v>470</v>
      </c>
      <c r="B117" s="666">
        <v>42776</v>
      </c>
      <c r="C117" s="378">
        <v>15</v>
      </c>
      <c r="D117" s="379">
        <v>114.5587</v>
      </c>
      <c r="E117" s="379">
        <v>115.24</v>
      </c>
      <c r="F117" s="379">
        <f t="shared" si="3"/>
        <v>10.219499999999897</v>
      </c>
      <c r="G117" s="379">
        <f t="shared" si="4"/>
        <v>1718.3805</v>
      </c>
      <c r="H117" s="380">
        <f t="shared" si="5"/>
        <v>5.9471694423906098E-3</v>
      </c>
      <c r="I117" s="379"/>
      <c r="J117" s="379"/>
      <c r="K117" s="379"/>
      <c r="L117" s="378"/>
    </row>
    <row r="118" spans="1:12" x14ac:dyDescent="0.25">
      <c r="A118" s="378"/>
      <c r="B118" s="666">
        <v>42796</v>
      </c>
      <c r="C118" s="378">
        <v>0</v>
      </c>
      <c r="D118" s="379"/>
      <c r="E118" s="379"/>
      <c r="F118" s="379">
        <v>142.78</v>
      </c>
      <c r="G118" s="379"/>
      <c r="H118" s="380"/>
      <c r="I118" s="379"/>
      <c r="J118" s="379"/>
      <c r="K118" s="379"/>
      <c r="L118" s="378"/>
    </row>
    <row r="119" spans="1:12" x14ac:dyDescent="0.25">
      <c r="A119" s="378"/>
      <c r="B119" s="666"/>
      <c r="C119" s="378"/>
      <c r="D119" s="379"/>
      <c r="E119" s="379"/>
      <c r="F119" s="379"/>
      <c r="G119" s="379"/>
      <c r="H119" s="380"/>
      <c r="I119" s="379"/>
      <c r="J119" s="379"/>
      <c r="K119" s="379"/>
      <c r="L119" s="378"/>
    </row>
    <row r="120" spans="1:12" x14ac:dyDescent="0.25">
      <c r="A120" s="378"/>
      <c r="B120" s="666"/>
      <c r="C120" s="378"/>
      <c r="D120" s="379"/>
      <c r="E120" s="379"/>
      <c r="F120" s="379"/>
      <c r="G120" s="379"/>
      <c r="H120" s="380"/>
      <c r="I120" s="379"/>
      <c r="J120" s="379"/>
      <c r="K120" s="379"/>
      <c r="L120" s="378"/>
    </row>
    <row r="121" spans="1:12" x14ac:dyDescent="0.25">
      <c r="A121" s="378"/>
      <c r="B121" s="666"/>
      <c r="C121" s="378"/>
      <c r="D121" s="379"/>
      <c r="E121" s="379"/>
      <c r="F121" s="379"/>
      <c r="G121" s="379"/>
      <c r="H121" s="380"/>
      <c r="I121" s="379"/>
      <c r="J121" s="379"/>
      <c r="K121" s="379"/>
      <c r="L121" s="378"/>
    </row>
    <row r="122" spans="1:12" x14ac:dyDescent="0.25">
      <c r="A122" s="378"/>
      <c r="B122" s="666"/>
      <c r="C122" s="378"/>
      <c r="D122" s="379"/>
      <c r="E122" s="379"/>
      <c r="F122" s="379"/>
      <c r="G122" s="379"/>
      <c r="H122" s="380"/>
      <c r="I122" s="379"/>
      <c r="J122" s="379"/>
      <c r="K122" s="379"/>
      <c r="L122" s="378"/>
    </row>
    <row r="123" spans="1:12" x14ac:dyDescent="0.25">
      <c r="A123" s="378"/>
      <c r="B123" s="666"/>
      <c r="C123" s="378"/>
      <c r="D123" s="379"/>
      <c r="E123" s="379"/>
      <c r="F123" s="379"/>
      <c r="G123" s="379"/>
      <c r="H123" s="380"/>
      <c r="I123" s="379"/>
      <c r="J123" s="379"/>
      <c r="K123" s="379"/>
      <c r="L123" s="378"/>
    </row>
    <row r="124" spans="1:12" x14ac:dyDescent="0.25">
      <c r="A124" s="378"/>
      <c r="B124" s="666"/>
      <c r="C124" s="378"/>
      <c r="D124" s="379"/>
      <c r="E124" s="379"/>
      <c r="F124" s="379"/>
      <c r="G124" s="379"/>
      <c r="H124" s="380"/>
      <c r="I124" s="379"/>
      <c r="J124" s="379"/>
      <c r="K124" s="379"/>
      <c r="L124" s="378"/>
    </row>
    <row r="125" spans="1:12" x14ac:dyDescent="0.25">
      <c r="A125" s="378"/>
      <c r="B125" s="666"/>
      <c r="C125" s="378"/>
      <c r="D125" s="379"/>
      <c r="E125" s="379"/>
      <c r="F125" s="379"/>
      <c r="G125" s="379"/>
      <c r="H125" s="380"/>
      <c r="I125" s="379"/>
      <c r="J125" s="379"/>
      <c r="K125" s="379"/>
      <c r="L125" s="378"/>
    </row>
    <row r="126" spans="1:12" x14ac:dyDescent="0.25">
      <c r="A126" s="378"/>
      <c r="B126" s="666"/>
      <c r="C126" s="378"/>
      <c r="D126" s="379"/>
      <c r="E126" s="379"/>
      <c r="F126" s="379"/>
      <c r="G126" s="379"/>
      <c r="H126" s="380"/>
      <c r="I126" s="379"/>
      <c r="J126" s="379"/>
      <c r="K126" s="379"/>
      <c r="L126" s="378"/>
    </row>
    <row r="127" spans="1:12" x14ac:dyDescent="0.25">
      <c r="A127" s="378"/>
      <c r="B127" s="666"/>
      <c r="C127" s="378"/>
      <c r="D127" s="379"/>
      <c r="E127" s="379"/>
      <c r="F127" s="379"/>
      <c r="G127" s="379"/>
      <c r="H127" s="380"/>
      <c r="I127" s="466"/>
      <c r="J127" s="379"/>
      <c r="K127" s="379"/>
      <c r="L127" s="378"/>
    </row>
    <row r="128" spans="1:12" x14ac:dyDescent="0.25">
      <c r="A128" s="378"/>
      <c r="B128" s="666"/>
      <c r="C128" s="378"/>
      <c r="D128" s="379"/>
      <c r="E128" s="379"/>
      <c r="F128" s="379"/>
      <c r="G128" s="379"/>
      <c r="H128" s="380"/>
      <c r="I128" s="379"/>
      <c r="J128" s="379"/>
      <c r="K128" s="379"/>
      <c r="L128" s="378"/>
    </row>
    <row r="129" spans="1:12" x14ac:dyDescent="0.25">
      <c r="A129" s="378"/>
      <c r="B129" s="666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</row>
    <row r="130" spans="1:12" x14ac:dyDescent="0.25">
      <c r="A130" s="378"/>
      <c r="B130" s="666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</row>
    <row r="131" spans="1:12" x14ac:dyDescent="0.25">
      <c r="A131" s="378"/>
      <c r="B131" s="666"/>
      <c r="C131" s="378"/>
      <c r="D131" s="379"/>
      <c r="E131" s="379"/>
      <c r="F131" s="379"/>
      <c r="G131" s="379"/>
      <c r="H131" s="380"/>
      <c r="I131" s="379"/>
      <c r="J131" s="379"/>
      <c r="K131" s="379"/>
      <c r="L131" s="378"/>
    </row>
    <row r="132" spans="1:12" x14ac:dyDescent="0.25">
      <c r="A132" s="378"/>
      <c r="B132" s="666"/>
      <c r="C132" s="378"/>
      <c r="D132" s="379"/>
      <c r="E132" s="379"/>
      <c r="F132" s="379"/>
      <c r="G132" s="379"/>
      <c r="H132" s="380"/>
      <c r="I132" s="379"/>
      <c r="J132" s="379"/>
      <c r="K132" s="379"/>
      <c r="L132" s="378"/>
    </row>
    <row r="133" spans="1:12" x14ac:dyDescent="0.25">
      <c r="A133" s="378"/>
      <c r="B133" s="666"/>
      <c r="C133" s="378"/>
      <c r="D133" s="379"/>
      <c r="E133" s="379"/>
      <c r="F133" s="379"/>
      <c r="G133" s="379"/>
      <c r="H133" s="380"/>
      <c r="I133" s="379"/>
      <c r="J133" s="379"/>
      <c r="K133" s="379"/>
      <c r="L133" s="378"/>
    </row>
    <row r="134" spans="1:12" x14ac:dyDescent="0.25">
      <c r="A134" s="378"/>
      <c r="B134" s="666"/>
      <c r="C134" s="378"/>
      <c r="D134" s="379"/>
      <c r="E134" s="379"/>
      <c r="F134" s="379"/>
      <c r="G134" s="379"/>
      <c r="H134" s="380"/>
      <c r="I134" s="379"/>
      <c r="J134" s="379"/>
      <c r="K134" s="379"/>
      <c r="L134" s="378"/>
    </row>
    <row r="135" spans="1:12" x14ac:dyDescent="0.25">
      <c r="A135" s="378"/>
      <c r="B135" s="666"/>
      <c r="C135" s="378"/>
      <c r="D135" s="379"/>
      <c r="E135" s="379"/>
      <c r="F135" s="379"/>
      <c r="G135" s="379"/>
      <c r="H135" s="380"/>
      <c r="I135" s="379"/>
      <c r="J135" s="379"/>
      <c r="K135" s="379"/>
      <c r="L135" s="378"/>
    </row>
    <row r="136" spans="1:12" x14ac:dyDescent="0.25">
      <c r="A136" s="378"/>
      <c r="B136" s="666"/>
      <c r="C136" s="378"/>
      <c r="D136" s="379"/>
      <c r="E136" s="379"/>
      <c r="F136" s="379"/>
      <c r="G136" s="379"/>
      <c r="H136" s="380"/>
      <c r="I136" s="379"/>
      <c r="J136" s="379"/>
      <c r="K136" s="379"/>
      <c r="L136" s="378"/>
    </row>
    <row r="137" spans="1:12" x14ac:dyDescent="0.25">
      <c r="A137" s="378"/>
      <c r="B137" s="666"/>
      <c r="C137" s="378"/>
      <c r="D137" s="379"/>
      <c r="E137" s="379"/>
      <c r="F137" s="379"/>
      <c r="G137" s="379"/>
      <c r="H137" s="380"/>
      <c r="I137" s="379"/>
      <c r="J137" s="379"/>
      <c r="K137" s="379"/>
      <c r="L137" s="378"/>
    </row>
    <row r="138" spans="1:12" x14ac:dyDescent="0.25">
      <c r="A138" s="378"/>
      <c r="B138" s="666"/>
      <c r="C138" s="378"/>
      <c r="D138" s="379"/>
      <c r="E138" s="379"/>
      <c r="F138" s="379"/>
      <c r="G138" s="379"/>
      <c r="H138" s="380"/>
      <c r="I138" s="379"/>
      <c r="J138" s="379"/>
      <c r="K138" s="379"/>
      <c r="L138" s="378"/>
    </row>
    <row r="139" spans="1:12" x14ac:dyDescent="0.25">
      <c r="A139" s="378"/>
      <c r="B139" s="666"/>
      <c r="C139" s="378"/>
      <c r="D139" s="379"/>
      <c r="E139" s="379"/>
      <c r="F139" s="379"/>
      <c r="G139" s="379"/>
      <c r="H139" s="380"/>
      <c r="I139" s="379"/>
      <c r="J139" s="379"/>
      <c r="K139" s="379"/>
      <c r="L139" s="378"/>
    </row>
    <row r="140" spans="1:12" x14ac:dyDescent="0.25">
      <c r="A140" s="378"/>
      <c r="B140" s="666"/>
      <c r="C140" s="378"/>
      <c r="D140" s="379"/>
      <c r="E140" s="379"/>
      <c r="F140" s="379"/>
      <c r="G140" s="379"/>
      <c r="H140" s="380"/>
      <c r="I140" s="379"/>
      <c r="J140" s="379"/>
      <c r="K140" s="379"/>
      <c r="L140" s="378"/>
    </row>
    <row r="141" spans="1:12" x14ac:dyDescent="0.25">
      <c r="A141" s="378"/>
      <c r="B141" s="666"/>
      <c r="C141" s="378"/>
      <c r="D141" s="379"/>
      <c r="E141" s="379"/>
      <c r="F141" s="379"/>
      <c r="G141" s="379"/>
      <c r="H141" s="380"/>
      <c r="I141" s="379"/>
      <c r="J141" s="379"/>
      <c r="K141" s="379"/>
      <c r="L141" s="378"/>
    </row>
    <row r="142" spans="1:12" x14ac:dyDescent="0.25">
      <c r="A142" s="378"/>
      <c r="B142" s="666"/>
      <c r="C142" s="378"/>
      <c r="D142" s="379"/>
      <c r="E142" s="379"/>
      <c r="F142" s="379"/>
      <c r="G142" s="379"/>
      <c r="H142" s="380"/>
      <c r="I142" s="379"/>
      <c r="J142" s="379"/>
      <c r="K142" s="379"/>
      <c r="L142" s="378"/>
    </row>
    <row r="143" spans="1:12" x14ac:dyDescent="0.25">
      <c r="A143" s="378"/>
      <c r="B143" s="666"/>
      <c r="C143" s="378"/>
      <c r="D143" s="379"/>
      <c r="E143" s="379"/>
      <c r="F143" s="379"/>
      <c r="G143" s="379"/>
      <c r="H143" s="380"/>
      <c r="I143" s="379"/>
      <c r="J143" s="379"/>
      <c r="K143" s="379"/>
      <c r="L143" s="378"/>
    </row>
    <row r="144" spans="1:12" x14ac:dyDescent="0.25">
      <c r="A144" s="378"/>
      <c r="B144" s="666"/>
      <c r="C144" s="378"/>
      <c r="D144" s="379"/>
      <c r="E144" s="379"/>
      <c r="F144" s="379"/>
      <c r="G144" s="379"/>
      <c r="H144" s="380"/>
      <c r="I144" s="379"/>
      <c r="J144" s="379"/>
      <c r="K144" s="379"/>
      <c r="L144" s="378"/>
    </row>
    <row r="145" spans="1:12" x14ac:dyDescent="0.25">
      <c r="A145" s="378"/>
      <c r="B145" s="666"/>
      <c r="C145" s="378"/>
      <c r="D145" s="379"/>
      <c r="E145" s="379"/>
      <c r="F145" s="379"/>
      <c r="G145" s="379"/>
      <c r="H145" s="380"/>
      <c r="I145" s="379"/>
      <c r="J145" s="379"/>
      <c r="K145" s="379"/>
      <c r="L145" s="378"/>
    </row>
    <row r="146" spans="1:12" x14ac:dyDescent="0.25">
      <c r="A146" s="378"/>
      <c r="B146" s="666"/>
      <c r="C146" s="378"/>
      <c r="D146" s="379"/>
      <c r="E146" s="379"/>
      <c r="F146" s="379"/>
      <c r="G146" s="379"/>
      <c r="H146" s="380"/>
      <c r="I146" s="379"/>
      <c r="J146" s="379"/>
      <c r="K146" s="379"/>
      <c r="L146" s="378"/>
    </row>
    <row r="147" spans="1:12" x14ac:dyDescent="0.25">
      <c r="A147" s="378"/>
      <c r="B147" s="666"/>
      <c r="C147" s="378"/>
      <c r="D147" s="379"/>
      <c r="E147" s="379"/>
      <c r="F147" s="379"/>
      <c r="G147" s="379"/>
      <c r="H147" s="380"/>
      <c r="I147" s="379"/>
      <c r="J147" s="379"/>
      <c r="K147" s="379"/>
      <c r="L147" s="378"/>
    </row>
    <row r="148" spans="1:12" x14ac:dyDescent="0.25">
      <c r="A148" s="378"/>
      <c r="B148" s="666"/>
      <c r="C148" s="378"/>
      <c r="D148" s="379"/>
      <c r="E148" s="379"/>
      <c r="F148" s="379"/>
      <c r="G148" s="379"/>
      <c r="H148" s="380"/>
      <c r="I148" s="379"/>
      <c r="J148" s="379"/>
      <c r="K148" s="379"/>
      <c r="L148" s="378"/>
    </row>
    <row r="149" spans="1:12" x14ac:dyDescent="0.25">
      <c r="A149" s="378"/>
      <c r="B149" s="666"/>
      <c r="C149" s="378"/>
      <c r="D149" s="379"/>
      <c r="E149" s="379"/>
      <c r="F149" s="379"/>
      <c r="G149" s="379"/>
      <c r="H149" s="380"/>
      <c r="I149" s="379"/>
      <c r="J149" s="379"/>
      <c r="K149" s="379"/>
      <c r="L149" s="378"/>
    </row>
    <row r="150" spans="1:12" x14ac:dyDescent="0.25">
      <c r="A150" s="378"/>
      <c r="B150" s="666"/>
      <c r="C150" s="378"/>
      <c r="D150" s="379"/>
      <c r="E150" s="379"/>
      <c r="F150" s="379"/>
      <c r="G150" s="378"/>
      <c r="H150" s="378"/>
      <c r="I150" s="379"/>
      <c r="J150" s="379"/>
      <c r="K150" s="379"/>
      <c r="L150" s="378"/>
    </row>
    <row r="151" spans="1:12" x14ac:dyDescent="0.25">
      <c r="A151" s="378"/>
      <c r="B151" s="666"/>
      <c r="C151" s="378"/>
      <c r="D151" s="379"/>
      <c r="E151" s="379"/>
      <c r="F151" s="379"/>
      <c r="G151" s="378"/>
      <c r="H151" s="378"/>
      <c r="I151" s="379"/>
      <c r="J151" s="379"/>
      <c r="K151" s="379"/>
      <c r="L151" s="3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791" priority="19">
      <formula>F25&gt;0</formula>
    </cfRule>
    <cfRule type="expression" dxfId="790" priority="20">
      <formula>F25&lt;0</formula>
    </cfRule>
  </conditionalFormatting>
  <conditionalFormatting sqref="Q7">
    <cfRule type="expression" dxfId="789" priority="17">
      <formula>Q7&gt;0</formula>
    </cfRule>
    <cfRule type="expression" dxfId="788" priority="18">
      <formula>Q7&lt;0</formula>
    </cfRule>
  </conditionalFormatting>
  <conditionalFormatting sqref="Q8">
    <cfRule type="expression" dxfId="787" priority="15">
      <formula>Q8&gt;0</formula>
    </cfRule>
    <cfRule type="expression" dxfId="786" priority="16">
      <formula>Q8&lt;0</formula>
    </cfRule>
  </conditionalFormatting>
  <conditionalFormatting sqref="M74">
    <cfRule type="expression" dxfId="785" priority="9">
      <formula>M74&gt;0</formula>
    </cfRule>
    <cfRule type="expression" dxfId="784" priority="10">
      <formula>M74&lt;0</formula>
    </cfRule>
  </conditionalFormatting>
  <conditionalFormatting sqref="F113:F149 H113:H149">
    <cfRule type="expression" dxfId="783" priority="7">
      <formula>F113&gt;0</formula>
    </cfRule>
    <cfRule type="expression" dxfId="782" priority="8">
      <formula>F113&lt;0</formula>
    </cfRule>
  </conditionalFormatting>
  <conditionalFormatting sqref="F105:F112">
    <cfRule type="expression" dxfId="781" priority="5">
      <formula>F105&gt;0</formula>
    </cfRule>
    <cfRule type="expression" dxfId="780" priority="6">
      <formula>F105&lt;0</formula>
    </cfRule>
  </conditionalFormatting>
  <conditionalFormatting sqref="H105:H112">
    <cfRule type="expression" dxfId="779" priority="3">
      <formula>H105&gt;0</formula>
    </cfRule>
    <cfRule type="expression" dxfId="778" priority="4">
      <formula>H105&lt;0</formula>
    </cfRule>
  </conditionalFormatting>
  <conditionalFormatting sqref="Q10">
    <cfRule type="expression" dxfId="777" priority="1">
      <formula>Q10&gt;0</formula>
    </cfRule>
    <cfRule type="expression" dxfId="776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4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4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2500</v>
      </c>
      <c r="T2" s="157"/>
      <c r="W2" s="122">
        <v>42803</v>
      </c>
      <c r="X2" s="41">
        <v>10.98</v>
      </c>
      <c r="Y2" s="41">
        <v>11.15</v>
      </c>
      <c r="Z2" s="41">
        <v>10.94</v>
      </c>
      <c r="AA2" s="41">
        <v>11.08</v>
      </c>
      <c r="AB2" s="103">
        <v>2866700</v>
      </c>
      <c r="AC2" s="9">
        <v>11.08</v>
      </c>
      <c r="AD2" s="2">
        <f>Y2-Z2</f>
        <v>0.21000000000000085</v>
      </c>
      <c r="AE2" s="137">
        <f>AC2/AC3-1</f>
        <v>1.0027347310847645E-2</v>
      </c>
    </row>
    <row r="3" spans="1:42" x14ac:dyDescent="0.25">
      <c r="A3" s="23" t="s">
        <v>71</v>
      </c>
      <c r="B3" s="454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4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90">
        <f>IF(Q2=0, Q4, (F118-K118)/Q2)</f>
        <v>21.806420000000067</v>
      </c>
      <c r="T3" s="162"/>
      <c r="W3" s="122">
        <v>42802</v>
      </c>
      <c r="X3" s="41">
        <v>11.17</v>
      </c>
      <c r="Y3" s="41">
        <v>11.21</v>
      </c>
      <c r="Z3" s="41">
        <v>10.72</v>
      </c>
      <c r="AA3" s="41">
        <v>10.97</v>
      </c>
      <c r="AB3" s="103">
        <v>5303100</v>
      </c>
      <c r="AC3" s="9">
        <v>10.97</v>
      </c>
      <c r="AD3" s="2">
        <f t="shared" ref="AD3:AD66" si="1">Y3-Z3</f>
        <v>0.49000000000000021</v>
      </c>
      <c r="AE3" s="137">
        <f t="shared" ref="AE3:AE66" si="2">AC3/AC4-1</f>
        <v>-2.4021352313167266E-2</v>
      </c>
      <c r="AJ3" s="234"/>
      <c r="AL3" s="233"/>
      <c r="AO3" s="233"/>
    </row>
    <row r="4" spans="1:42" x14ac:dyDescent="0.25">
      <c r="B4" s="454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4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11.01</v>
      </c>
      <c r="R4" s="499">
        <v>-6.3E-3</v>
      </c>
      <c r="T4" s="1" t="s">
        <v>533</v>
      </c>
      <c r="W4" s="122">
        <v>42801</v>
      </c>
      <c r="X4" s="41">
        <v>11.71</v>
      </c>
      <c r="Y4" s="41">
        <v>11.78</v>
      </c>
      <c r="Z4" s="41">
        <v>11.18</v>
      </c>
      <c r="AA4" s="41">
        <v>11.24</v>
      </c>
      <c r="AB4" s="103">
        <v>4097900</v>
      </c>
      <c r="AC4" s="9">
        <v>11.24</v>
      </c>
      <c r="AD4" s="2">
        <f t="shared" si="1"/>
        <v>0.59999999999999964</v>
      </c>
      <c r="AE4" s="137">
        <f t="shared" si="2"/>
        <v>-3.8494439692044469E-2</v>
      </c>
      <c r="AL4" s="233"/>
      <c r="AO4" s="233"/>
    </row>
    <row r="5" spans="1:42" x14ac:dyDescent="0.25">
      <c r="B5" s="454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4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27525</v>
      </c>
      <c r="T5" s="1"/>
      <c r="W5" s="122">
        <v>42800</v>
      </c>
      <c r="X5" s="41">
        <v>11.86</v>
      </c>
      <c r="Y5" s="41">
        <v>11.92</v>
      </c>
      <c r="Z5" s="41">
        <v>11.62</v>
      </c>
      <c r="AA5" s="41">
        <v>11.69</v>
      </c>
      <c r="AB5" s="103">
        <v>4746700</v>
      </c>
      <c r="AC5" s="9">
        <v>11.69</v>
      </c>
      <c r="AD5" s="2">
        <f t="shared" si="1"/>
        <v>0.30000000000000071</v>
      </c>
      <c r="AE5" s="137">
        <f t="shared" si="2"/>
        <v>-1.433389544688024E-2</v>
      </c>
      <c r="AL5" s="233"/>
      <c r="AO5" s="233"/>
    </row>
    <row r="6" spans="1:42" x14ac:dyDescent="0.25">
      <c r="B6" s="454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4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54516.05000000017</v>
      </c>
      <c r="T6" t="s">
        <v>534</v>
      </c>
      <c r="W6" s="122">
        <v>42797</v>
      </c>
      <c r="X6" s="41">
        <v>11.83</v>
      </c>
      <c r="Y6" s="41">
        <v>11.92</v>
      </c>
      <c r="Z6" s="41">
        <v>11.71</v>
      </c>
      <c r="AA6" s="41">
        <v>11.86</v>
      </c>
      <c r="AB6" s="103">
        <v>2018300</v>
      </c>
      <c r="AC6" s="9">
        <v>11.86</v>
      </c>
      <c r="AD6" s="2">
        <f t="shared" si="1"/>
        <v>0.20999999999999908</v>
      </c>
      <c r="AE6" s="137">
        <f t="shared" si="2"/>
        <v>0</v>
      </c>
      <c r="AL6" s="233"/>
      <c r="AO6" s="233"/>
    </row>
    <row r="7" spans="1:42" x14ac:dyDescent="0.25">
      <c r="B7" s="454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4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-26991.050000000163</v>
      </c>
      <c r="R7">
        <v>1500</v>
      </c>
      <c r="W7" s="122">
        <v>42796</v>
      </c>
      <c r="X7" s="41">
        <v>11.6</v>
      </c>
      <c r="Y7" s="41">
        <v>12</v>
      </c>
      <c r="Z7" s="41">
        <v>11.53</v>
      </c>
      <c r="AA7" s="41">
        <v>11.86</v>
      </c>
      <c r="AB7" s="103">
        <v>2712400</v>
      </c>
      <c r="AC7" s="9">
        <v>11.86</v>
      </c>
      <c r="AD7" s="2">
        <f t="shared" si="1"/>
        <v>0.47000000000000064</v>
      </c>
      <c r="AE7" s="137">
        <f t="shared" si="2"/>
        <v>2.0654044750430423E-2</v>
      </c>
      <c r="AL7" s="233"/>
      <c r="AO7" s="233"/>
    </row>
    <row r="8" spans="1:42" x14ac:dyDescent="0.25">
      <c r="B8" s="454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4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-26991.050000000163</v>
      </c>
      <c r="R8" s="165"/>
      <c r="W8" s="122">
        <v>42795</v>
      </c>
      <c r="X8" s="41">
        <v>11.7</v>
      </c>
      <c r="Y8" s="41">
        <v>11.89</v>
      </c>
      <c r="Z8" s="41">
        <v>11.59</v>
      </c>
      <c r="AA8" s="41">
        <v>11.62</v>
      </c>
      <c r="AB8" s="103">
        <v>3373400</v>
      </c>
      <c r="AC8" s="9">
        <v>11.62</v>
      </c>
      <c r="AD8" s="2">
        <f t="shared" si="1"/>
        <v>0.30000000000000071</v>
      </c>
      <c r="AE8" s="137">
        <f t="shared" si="2"/>
        <v>-7.6857386848848686E-3</v>
      </c>
      <c r="AL8" s="233"/>
      <c r="AO8" s="233"/>
    </row>
    <row r="9" spans="1:42" x14ac:dyDescent="0.25">
      <c r="B9" s="454">
        <v>42187</v>
      </c>
      <c r="C9" s="4">
        <v>1000</v>
      </c>
      <c r="D9" s="239">
        <v>18.45</v>
      </c>
      <c r="E9" s="3">
        <v>0</v>
      </c>
      <c r="F9" s="3">
        <f t="shared" si="0"/>
        <v>18450</v>
      </c>
      <c r="G9" s="454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7">
        <f>IF(Q2=0, 0, Q8/Q6)</f>
        <v>-0.4951028183443239</v>
      </c>
      <c r="W9" s="122">
        <v>42794</v>
      </c>
      <c r="X9" s="41">
        <v>11.67</v>
      </c>
      <c r="Y9" s="41">
        <v>11.91</v>
      </c>
      <c r="Z9" s="41">
        <v>11.57</v>
      </c>
      <c r="AA9" s="41">
        <v>11.71</v>
      </c>
      <c r="AB9" s="103">
        <v>6079000</v>
      </c>
      <c r="AC9" s="9">
        <v>11.71</v>
      </c>
      <c r="AD9" s="2">
        <f t="shared" si="1"/>
        <v>0.33999999999999986</v>
      </c>
      <c r="AE9" s="137">
        <f t="shared" si="2"/>
        <v>8.5470085470107371E-4</v>
      </c>
      <c r="AL9" s="233"/>
      <c r="AO9" s="233"/>
    </row>
    <row r="10" spans="1:42" x14ac:dyDescent="0.25">
      <c r="B10" s="454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4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42793</v>
      </c>
      <c r="X10" s="41">
        <v>11.62</v>
      </c>
      <c r="Y10" s="41">
        <v>11.71</v>
      </c>
      <c r="Z10" s="41">
        <v>11.51</v>
      </c>
      <c r="AA10" s="41">
        <v>11.7</v>
      </c>
      <c r="AB10" s="103">
        <v>5164400</v>
      </c>
      <c r="AC10" s="9">
        <v>11.7</v>
      </c>
      <c r="AD10" s="2">
        <f t="shared" si="1"/>
        <v>0.20000000000000107</v>
      </c>
      <c r="AE10" s="137">
        <f t="shared" si="2"/>
        <v>-5.1020408163265918E-3</v>
      </c>
      <c r="AL10" s="233"/>
      <c r="AO10" s="233"/>
    </row>
    <row r="11" spans="1:42" x14ac:dyDescent="0.25">
      <c r="B11" s="454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4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7">
        <f>IF(U58="N/A (N/A)", 0, VALUE(TRIM(CLEAN(MID(U58, FIND("(", U58)+1, 5)))))</f>
        <v>0</v>
      </c>
      <c r="T11" s="11"/>
      <c r="W11" s="122">
        <v>42790</v>
      </c>
      <c r="X11" s="41">
        <v>11.77</v>
      </c>
      <c r="Y11" s="41">
        <v>11.91</v>
      </c>
      <c r="Z11" s="41">
        <v>11.72</v>
      </c>
      <c r="AA11" s="41">
        <v>11.76</v>
      </c>
      <c r="AB11" s="103">
        <v>3480100</v>
      </c>
      <c r="AC11" s="9">
        <v>11.76</v>
      </c>
      <c r="AD11" s="2">
        <f t="shared" si="1"/>
        <v>0.1899999999999995</v>
      </c>
      <c r="AE11" s="137">
        <f t="shared" si="2"/>
        <v>-3.3898305084746339E-3</v>
      </c>
      <c r="AL11" s="233"/>
      <c r="AO11" s="233"/>
    </row>
    <row r="12" spans="1:42" x14ac:dyDescent="0.25">
      <c r="B12" s="454">
        <v>42207</v>
      </c>
      <c r="C12" s="4">
        <v>30</v>
      </c>
      <c r="D12" s="239">
        <v>17.3</v>
      </c>
      <c r="E12" s="3">
        <v>0</v>
      </c>
      <c r="F12" s="3">
        <f t="shared" si="0"/>
        <v>519</v>
      </c>
      <c r="G12" s="454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42789</v>
      </c>
      <c r="X12" s="41">
        <v>11.85</v>
      </c>
      <c r="Y12" s="41">
        <v>11.95</v>
      </c>
      <c r="Z12" s="41">
        <v>11.67</v>
      </c>
      <c r="AA12" s="41">
        <v>11.8</v>
      </c>
      <c r="AB12" s="103">
        <v>4529600</v>
      </c>
      <c r="AC12" s="9">
        <v>11.8</v>
      </c>
      <c r="AD12" s="2">
        <f t="shared" si="1"/>
        <v>0.27999999999999936</v>
      </c>
      <c r="AE12" s="137">
        <f t="shared" si="2"/>
        <v>8.4817642069556776E-4</v>
      </c>
      <c r="AL12" s="233"/>
      <c r="AO12" s="233"/>
    </row>
    <row r="13" spans="1:42" x14ac:dyDescent="0.25">
      <c r="B13" s="454">
        <v>42207</v>
      </c>
      <c r="C13" s="4">
        <v>20</v>
      </c>
      <c r="D13" s="239">
        <v>17.399999999999999</v>
      </c>
      <c r="E13" s="3">
        <v>0</v>
      </c>
      <c r="F13" s="3">
        <f t="shared" si="0"/>
        <v>348</v>
      </c>
      <c r="G13" s="453"/>
      <c r="H13" s="7"/>
      <c r="I13" s="78"/>
      <c r="J13" s="44"/>
      <c r="K13" s="44"/>
      <c r="W13" s="122">
        <v>42788</v>
      </c>
      <c r="X13" s="41">
        <v>11.73</v>
      </c>
      <c r="Y13" s="41">
        <v>11.81</v>
      </c>
      <c r="Z13" s="41">
        <v>11.65</v>
      </c>
      <c r="AA13" s="41">
        <v>11.79</v>
      </c>
      <c r="AB13" s="103">
        <v>2318600</v>
      </c>
      <c r="AC13" s="9">
        <v>11.79</v>
      </c>
      <c r="AD13" s="2">
        <f t="shared" si="1"/>
        <v>0.16000000000000014</v>
      </c>
      <c r="AE13" s="137">
        <f t="shared" si="2"/>
        <v>4.2589437819420262E-3</v>
      </c>
    </row>
    <row r="14" spans="1:42" x14ac:dyDescent="0.25">
      <c r="B14" s="454">
        <v>42208</v>
      </c>
      <c r="C14" s="4">
        <v>100</v>
      </c>
      <c r="D14" s="239">
        <v>17.100000000000001</v>
      </c>
      <c r="E14" s="3">
        <v>0</v>
      </c>
      <c r="F14" s="3">
        <f t="shared" si="0"/>
        <v>1710.0000000000002</v>
      </c>
      <c r="G14" s="496"/>
      <c r="H14" s="7"/>
      <c r="I14" s="78"/>
      <c r="J14" s="44"/>
      <c r="K14" s="44"/>
      <c r="W14" s="122">
        <v>42787</v>
      </c>
      <c r="X14" s="41">
        <v>11.51</v>
      </c>
      <c r="Y14" s="41">
        <v>11.87</v>
      </c>
      <c r="Z14" s="41">
        <v>11.51</v>
      </c>
      <c r="AA14" s="41">
        <v>11.74</v>
      </c>
      <c r="AB14" s="103">
        <v>4274600</v>
      </c>
      <c r="AC14" s="9">
        <v>11.74</v>
      </c>
      <c r="AD14" s="2">
        <f t="shared" si="1"/>
        <v>0.35999999999999943</v>
      </c>
      <c r="AE14" s="137">
        <f t="shared" si="2"/>
        <v>2.3539668700959027E-2</v>
      </c>
    </row>
    <row r="15" spans="1:42" x14ac:dyDescent="0.25">
      <c r="B15" s="454">
        <v>42208</v>
      </c>
      <c r="C15" s="4">
        <v>50</v>
      </c>
      <c r="D15" s="239">
        <v>16.96</v>
      </c>
      <c r="E15" s="3">
        <v>0</v>
      </c>
      <c r="F15" s="3">
        <f t="shared" si="0"/>
        <v>848</v>
      </c>
      <c r="G15" s="496"/>
      <c r="H15" s="81"/>
      <c r="I15" s="78"/>
      <c r="J15" s="44"/>
      <c r="K15" s="44"/>
      <c r="V15" s="2"/>
      <c r="W15" s="122">
        <v>42783</v>
      </c>
      <c r="X15" s="41">
        <v>11.56</v>
      </c>
      <c r="Y15" s="41">
        <v>11.56</v>
      </c>
      <c r="Z15" s="41">
        <v>11.29</v>
      </c>
      <c r="AA15" s="41">
        <v>11.47</v>
      </c>
      <c r="AB15" s="103">
        <v>2346000</v>
      </c>
      <c r="AC15" s="9">
        <v>11.47</v>
      </c>
      <c r="AD15" s="2">
        <f t="shared" si="1"/>
        <v>0.27000000000000135</v>
      </c>
      <c r="AE15" s="137">
        <f t="shared" si="2"/>
        <v>-7.7854671280276344E-3</v>
      </c>
      <c r="AL15" s="233"/>
      <c r="AO15" s="233"/>
      <c r="AP15" s="233"/>
    </row>
    <row r="16" spans="1:42" x14ac:dyDescent="0.25">
      <c r="B16" s="454">
        <v>42222</v>
      </c>
      <c r="C16" s="4">
        <v>200</v>
      </c>
      <c r="D16" s="239">
        <v>17.739999999999998</v>
      </c>
      <c r="E16" s="3">
        <v>0</v>
      </c>
      <c r="F16" s="3">
        <f t="shared" si="0"/>
        <v>3547.9999999999995</v>
      </c>
      <c r="G16" s="496"/>
      <c r="H16" s="81"/>
      <c r="I16" s="78"/>
      <c r="J16" s="44"/>
      <c r="K16" s="44"/>
      <c r="V16" s="2"/>
      <c r="W16" s="122">
        <v>42782</v>
      </c>
      <c r="X16" s="41">
        <v>11.72</v>
      </c>
      <c r="Y16" s="41">
        <v>11.76</v>
      </c>
      <c r="Z16" s="41">
        <v>11.48</v>
      </c>
      <c r="AA16" s="41">
        <v>11.56</v>
      </c>
      <c r="AB16" s="103">
        <v>2065300</v>
      </c>
      <c r="AC16" s="9">
        <v>11.56</v>
      </c>
      <c r="AD16" s="2">
        <f t="shared" si="1"/>
        <v>0.27999999999999936</v>
      </c>
      <c r="AE16" s="137">
        <f t="shared" si="2"/>
        <v>-1.112061591103497E-2</v>
      </c>
    </row>
    <row r="17" spans="2:42" x14ac:dyDescent="0.25">
      <c r="B17" s="454">
        <v>42222</v>
      </c>
      <c r="C17" s="4">
        <v>200</v>
      </c>
      <c r="D17" s="239">
        <v>17.850000000000001</v>
      </c>
      <c r="E17" s="3">
        <v>0</v>
      </c>
      <c r="F17" s="3">
        <f t="shared" si="0"/>
        <v>3570.0000000000005</v>
      </c>
      <c r="G17" s="496"/>
      <c r="H17" s="81"/>
      <c r="I17" s="78"/>
      <c r="J17" s="44"/>
      <c r="K17" s="44"/>
      <c r="V17" s="2"/>
      <c r="W17" s="122">
        <v>42781</v>
      </c>
      <c r="X17" s="41">
        <v>11.33</v>
      </c>
      <c r="Y17" s="41">
        <v>11.72</v>
      </c>
      <c r="Z17" s="41">
        <v>11.3</v>
      </c>
      <c r="AA17" s="41">
        <v>11.69</v>
      </c>
      <c r="AB17" s="103">
        <v>3249500</v>
      </c>
      <c r="AC17" s="9">
        <v>11.69</v>
      </c>
      <c r="AD17" s="2">
        <f t="shared" si="1"/>
        <v>0.41999999999999993</v>
      </c>
      <c r="AE17" s="137">
        <f t="shared" si="2"/>
        <v>2.9049295774647987E-2</v>
      </c>
      <c r="AL17" s="233"/>
      <c r="AO17" s="233"/>
      <c r="AP17" s="233"/>
    </row>
    <row r="18" spans="2:42" x14ac:dyDescent="0.25">
      <c r="B18" s="454">
        <v>42223</v>
      </c>
      <c r="C18" s="4">
        <v>300</v>
      </c>
      <c r="D18" s="239">
        <v>17.149999999999999</v>
      </c>
      <c r="E18" s="3">
        <v>0</v>
      </c>
      <c r="F18" s="3">
        <f t="shared" si="0"/>
        <v>5145</v>
      </c>
      <c r="G18" s="496"/>
      <c r="H18" s="81"/>
      <c r="I18" s="78"/>
      <c r="J18" s="44"/>
      <c r="K18" s="44"/>
      <c r="V18" s="2"/>
      <c r="W18" s="122">
        <v>42780</v>
      </c>
      <c r="X18" s="41">
        <v>11.61</v>
      </c>
      <c r="Y18" s="41">
        <v>11.66</v>
      </c>
      <c r="Z18" s="41">
        <v>11.35</v>
      </c>
      <c r="AA18" s="41">
        <v>11.36</v>
      </c>
      <c r="AB18" s="103">
        <v>2429100</v>
      </c>
      <c r="AC18" s="9">
        <v>11.36</v>
      </c>
      <c r="AD18" s="2">
        <f t="shared" si="1"/>
        <v>0.3100000000000005</v>
      </c>
      <c r="AE18" s="137">
        <f t="shared" si="2"/>
        <v>-2.9888983774551736E-2</v>
      </c>
    </row>
    <row r="19" spans="2:42" x14ac:dyDescent="0.25">
      <c r="B19" s="454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6"/>
      <c r="H19" s="81"/>
      <c r="I19" s="78"/>
      <c r="J19" s="44"/>
      <c r="K19" s="44"/>
      <c r="W19" s="122">
        <v>42779</v>
      </c>
      <c r="X19" s="41">
        <v>11.66</v>
      </c>
      <c r="Y19" s="41">
        <v>11.83</v>
      </c>
      <c r="Z19" s="41">
        <v>11.61</v>
      </c>
      <c r="AA19" s="41">
        <v>11.71</v>
      </c>
      <c r="AB19" s="103">
        <v>4117600</v>
      </c>
      <c r="AC19" s="9">
        <v>11.71</v>
      </c>
      <c r="AD19" s="2">
        <f t="shared" si="1"/>
        <v>0.22000000000000064</v>
      </c>
      <c r="AE19" s="137">
        <f t="shared" si="2"/>
        <v>5.1502145922748266E-3</v>
      </c>
      <c r="AL19" s="233"/>
      <c r="AO19" s="233"/>
    </row>
    <row r="20" spans="2:42" x14ac:dyDescent="0.25">
      <c r="B20" s="454">
        <v>42223</v>
      </c>
      <c r="C20" s="4">
        <v>100</v>
      </c>
      <c r="D20" s="239">
        <v>17.37</v>
      </c>
      <c r="E20" s="3">
        <v>0</v>
      </c>
      <c r="F20" s="3">
        <f t="shared" si="0"/>
        <v>1737</v>
      </c>
      <c r="G20" s="453"/>
      <c r="H20" s="7"/>
      <c r="I20" s="78"/>
      <c r="J20" s="44"/>
      <c r="K20" s="44"/>
      <c r="W20" s="122">
        <v>42776</v>
      </c>
      <c r="X20" s="41">
        <v>11.31</v>
      </c>
      <c r="Y20" s="41">
        <v>11.69</v>
      </c>
      <c r="Z20" s="41">
        <v>11.1</v>
      </c>
      <c r="AA20" s="41">
        <v>11.65</v>
      </c>
      <c r="AB20" s="103">
        <v>9965700</v>
      </c>
      <c r="AC20" s="9">
        <v>11.65</v>
      </c>
      <c r="AD20" s="2">
        <f t="shared" si="1"/>
        <v>0.58999999999999986</v>
      </c>
      <c r="AE20" s="137">
        <f t="shared" si="2"/>
        <v>5.1444043321299704E-2</v>
      </c>
    </row>
    <row r="21" spans="2:42" x14ac:dyDescent="0.25">
      <c r="B21" s="454">
        <v>42227</v>
      </c>
      <c r="C21" s="7">
        <v>100</v>
      </c>
      <c r="D21" s="78">
        <v>17.100000000000001</v>
      </c>
      <c r="E21" s="44">
        <v>0</v>
      </c>
      <c r="F21" s="44">
        <f t="shared" si="0"/>
        <v>1710.0000000000002</v>
      </c>
      <c r="G21" s="453"/>
      <c r="H21" s="7"/>
      <c r="I21" s="78"/>
      <c r="J21" s="44"/>
      <c r="K21" s="44"/>
      <c r="W21" s="122">
        <v>42775</v>
      </c>
      <c r="X21" s="41">
        <v>11.32</v>
      </c>
      <c r="Y21" s="41">
        <v>11.54</v>
      </c>
      <c r="Z21" s="41">
        <v>10.9</v>
      </c>
      <c r="AA21" s="41">
        <v>11.08</v>
      </c>
      <c r="AB21" s="103">
        <v>14488300</v>
      </c>
      <c r="AC21" s="9">
        <v>11.08</v>
      </c>
      <c r="AD21" s="2">
        <f t="shared" si="1"/>
        <v>0.63999999999999879</v>
      </c>
      <c r="AE21" s="137">
        <f t="shared" si="2"/>
        <v>-2.9772329246935181E-2</v>
      </c>
    </row>
    <row r="22" spans="2:42" x14ac:dyDescent="0.25">
      <c r="B22" s="454">
        <v>42229</v>
      </c>
      <c r="C22" s="7">
        <v>100</v>
      </c>
      <c r="D22" s="78">
        <v>16.89</v>
      </c>
      <c r="E22" s="44">
        <v>0</v>
      </c>
      <c r="F22" s="44">
        <f t="shared" si="0"/>
        <v>1689</v>
      </c>
      <c r="G22" s="453"/>
      <c r="H22" s="7"/>
      <c r="I22" s="78"/>
      <c r="J22" s="44"/>
      <c r="K22" s="44"/>
      <c r="W22" s="122">
        <v>42774</v>
      </c>
      <c r="X22" s="41">
        <v>11.05</v>
      </c>
      <c r="Y22" s="41">
        <v>11.43</v>
      </c>
      <c r="Z22" s="41">
        <v>11.04</v>
      </c>
      <c r="AA22" s="41">
        <v>11.42</v>
      </c>
      <c r="AB22" s="103">
        <v>11810100</v>
      </c>
      <c r="AC22" s="9">
        <v>11.42</v>
      </c>
      <c r="AD22" s="2">
        <f t="shared" si="1"/>
        <v>0.39000000000000057</v>
      </c>
      <c r="AE22" s="137">
        <f t="shared" si="2"/>
        <v>2.8828828828828756E-2</v>
      </c>
    </row>
    <row r="23" spans="2:42" x14ac:dyDescent="0.25">
      <c r="B23" s="454">
        <v>42233</v>
      </c>
      <c r="C23" s="7">
        <v>100</v>
      </c>
      <c r="D23" s="78">
        <v>16.5</v>
      </c>
      <c r="E23" s="44">
        <v>0</v>
      </c>
      <c r="F23" s="44">
        <f t="shared" si="0"/>
        <v>1650</v>
      </c>
      <c r="G23" s="453"/>
      <c r="H23" s="81"/>
      <c r="I23" s="78"/>
      <c r="J23" s="44"/>
      <c r="K23" s="44"/>
      <c r="M23" s="2"/>
      <c r="W23" s="122">
        <v>42773</v>
      </c>
      <c r="X23" s="41">
        <v>11.05</v>
      </c>
      <c r="Y23" s="41">
        <v>11.14</v>
      </c>
      <c r="Z23" s="41">
        <v>11.01</v>
      </c>
      <c r="AA23" s="41">
        <v>11.1</v>
      </c>
      <c r="AB23" s="103">
        <v>3934300</v>
      </c>
      <c r="AC23" s="9">
        <v>11.1</v>
      </c>
      <c r="AD23" s="2">
        <f t="shared" si="1"/>
        <v>0.13000000000000078</v>
      </c>
      <c r="AE23" s="137">
        <f t="shared" si="2"/>
        <v>-1.7985611510791255E-3</v>
      </c>
    </row>
    <row r="24" spans="2:42" x14ac:dyDescent="0.25">
      <c r="B24" s="454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3"/>
      <c r="H24" s="81"/>
      <c r="I24" s="78"/>
      <c r="J24" s="44"/>
      <c r="K24" s="44"/>
      <c r="W24" s="122">
        <v>42772</v>
      </c>
      <c r="X24" s="41">
        <v>11.41</v>
      </c>
      <c r="Y24" s="41">
        <v>11.47</v>
      </c>
      <c r="Z24" s="41">
        <v>11.06</v>
      </c>
      <c r="AA24" s="41">
        <v>11.12</v>
      </c>
      <c r="AB24" s="103">
        <v>4954500</v>
      </c>
      <c r="AC24" s="9">
        <v>11.12</v>
      </c>
      <c r="AD24" s="2">
        <f t="shared" si="1"/>
        <v>0.41000000000000014</v>
      </c>
      <c r="AE24" s="137">
        <f t="shared" si="2"/>
        <v>-4.549356223175971E-2</v>
      </c>
    </row>
    <row r="25" spans="2:42" x14ac:dyDescent="0.25">
      <c r="B25" s="454">
        <v>42244</v>
      </c>
      <c r="C25" s="7">
        <v>200</v>
      </c>
      <c r="D25" s="78">
        <v>15.4</v>
      </c>
      <c r="E25" s="44">
        <v>0</v>
      </c>
      <c r="F25" s="44">
        <f t="shared" ref="F25:F36" si="4">C25*D25</f>
        <v>3080</v>
      </c>
      <c r="G25" s="453"/>
      <c r="H25" s="81"/>
      <c r="I25" s="78"/>
      <c r="J25" s="44"/>
      <c r="K25" s="44"/>
      <c r="W25" s="122">
        <v>42769</v>
      </c>
      <c r="X25" s="41">
        <v>11.64</v>
      </c>
      <c r="Y25" s="41">
        <v>11.82</v>
      </c>
      <c r="Z25" s="41">
        <v>11.56</v>
      </c>
      <c r="AA25" s="41">
        <v>11.65</v>
      </c>
      <c r="AB25" s="103">
        <v>2252900</v>
      </c>
      <c r="AC25" s="9">
        <v>11.65</v>
      </c>
      <c r="AD25" s="2">
        <f t="shared" si="1"/>
        <v>0.25999999999999979</v>
      </c>
      <c r="AE25" s="137">
        <f t="shared" si="2"/>
        <v>1.2163336229365829E-2</v>
      </c>
      <c r="AL25" s="233"/>
      <c r="AO25" s="233"/>
    </row>
    <row r="26" spans="2:42" x14ac:dyDescent="0.25">
      <c r="B26" s="454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3"/>
      <c r="H26" s="81"/>
      <c r="I26" s="78"/>
      <c r="J26" s="44"/>
      <c r="K26" s="44"/>
      <c r="W26" s="122">
        <v>42768</v>
      </c>
      <c r="X26" s="41">
        <v>11.49</v>
      </c>
      <c r="Y26" s="41">
        <v>11.6</v>
      </c>
      <c r="Z26" s="41">
        <v>11.31</v>
      </c>
      <c r="AA26" s="41">
        <v>11.51</v>
      </c>
      <c r="AB26" s="103">
        <v>3936400</v>
      </c>
      <c r="AC26" s="9">
        <v>11.51</v>
      </c>
      <c r="AD26" s="2">
        <f t="shared" si="1"/>
        <v>0.28999999999999915</v>
      </c>
      <c r="AE26" s="137">
        <f t="shared" si="2"/>
        <v>3.4873583260679464E-3</v>
      </c>
    </row>
    <row r="27" spans="2:42" x14ac:dyDescent="0.25">
      <c r="B27" s="454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3"/>
      <c r="H27" s="7"/>
      <c r="I27" s="78"/>
      <c r="J27" s="44"/>
      <c r="K27" s="44"/>
      <c r="W27" s="122">
        <v>42767</v>
      </c>
      <c r="X27" s="41">
        <v>11.81</v>
      </c>
      <c r="Y27" s="41">
        <v>11.88</v>
      </c>
      <c r="Z27" s="41">
        <v>11.42</v>
      </c>
      <c r="AA27" s="41">
        <v>11.47</v>
      </c>
      <c r="AB27" s="103">
        <v>4503900</v>
      </c>
      <c r="AC27" s="9">
        <v>11.47</v>
      </c>
      <c r="AD27" s="2">
        <f t="shared" si="1"/>
        <v>0.46000000000000085</v>
      </c>
      <c r="AE27" s="137">
        <f t="shared" si="2"/>
        <v>-2.7966101694915313E-2</v>
      </c>
      <c r="AL27" s="233"/>
      <c r="AO27" s="233"/>
    </row>
    <row r="28" spans="2:42" x14ac:dyDescent="0.25">
      <c r="B28" s="454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3"/>
      <c r="H28" s="7"/>
      <c r="I28" s="78"/>
      <c r="J28" s="44"/>
      <c r="K28" s="44"/>
      <c r="W28" s="122">
        <v>42766</v>
      </c>
      <c r="X28" s="41">
        <v>11.46</v>
      </c>
      <c r="Y28" s="41">
        <v>11.85</v>
      </c>
      <c r="Z28" s="41">
        <v>11.46</v>
      </c>
      <c r="AA28" s="41">
        <v>11.8</v>
      </c>
      <c r="AB28" s="103">
        <v>3043800</v>
      </c>
      <c r="AC28" s="9">
        <v>11.8</v>
      </c>
      <c r="AD28" s="2">
        <f t="shared" si="1"/>
        <v>0.38999999999999879</v>
      </c>
      <c r="AE28" s="137">
        <f t="shared" si="2"/>
        <v>2.1645021645021689E-2</v>
      </c>
    </row>
    <row r="29" spans="2:42" x14ac:dyDescent="0.25">
      <c r="B29" s="454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3"/>
      <c r="H29" s="7"/>
      <c r="I29" s="78"/>
      <c r="J29" s="44"/>
      <c r="K29" s="44"/>
      <c r="W29" s="122">
        <v>42765</v>
      </c>
      <c r="X29" s="41">
        <v>11.75</v>
      </c>
      <c r="Y29" s="41">
        <v>11.77</v>
      </c>
      <c r="Z29" s="41">
        <v>11.43</v>
      </c>
      <c r="AA29" s="41">
        <v>11.55</v>
      </c>
      <c r="AB29" s="103">
        <v>2967600</v>
      </c>
      <c r="AC29" s="9">
        <v>11.55</v>
      </c>
      <c r="AD29" s="2">
        <f t="shared" si="1"/>
        <v>0.33999999999999986</v>
      </c>
      <c r="AE29" s="137">
        <f t="shared" si="2"/>
        <v>-1.869158878504662E-2</v>
      </c>
    </row>
    <row r="30" spans="2:42" x14ac:dyDescent="0.25">
      <c r="B30" s="454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6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42762</v>
      </c>
      <c r="X30" s="41">
        <v>11.77</v>
      </c>
      <c r="Y30" s="41">
        <v>11.83</v>
      </c>
      <c r="Z30" s="41">
        <v>11.66</v>
      </c>
      <c r="AA30" s="41">
        <v>11.77</v>
      </c>
      <c r="AB30" s="103">
        <v>2301700</v>
      </c>
      <c r="AC30" s="9">
        <v>11.77</v>
      </c>
      <c r="AD30" s="2">
        <f t="shared" si="1"/>
        <v>0.16999999999999993</v>
      </c>
      <c r="AE30" s="137">
        <f t="shared" si="2"/>
        <v>0</v>
      </c>
    </row>
    <row r="31" spans="2:42" x14ac:dyDescent="0.25">
      <c r="B31" s="454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6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42761</v>
      </c>
      <c r="X31" s="41">
        <v>11.83</v>
      </c>
      <c r="Y31" s="41">
        <v>11.91</v>
      </c>
      <c r="Z31" s="41">
        <v>11.67</v>
      </c>
      <c r="AA31" s="41">
        <v>11.77</v>
      </c>
      <c r="AB31" s="103">
        <v>8485200</v>
      </c>
      <c r="AC31" s="9">
        <v>11.77</v>
      </c>
      <c r="AD31" s="2">
        <f t="shared" si="1"/>
        <v>0.24000000000000021</v>
      </c>
      <c r="AE31" s="137">
        <f t="shared" si="2"/>
        <v>-3.3869602032177148E-3</v>
      </c>
      <c r="AL31" s="233"/>
      <c r="AO31" s="233"/>
    </row>
    <row r="32" spans="2:42" x14ac:dyDescent="0.25">
      <c r="B32" s="454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6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42760</v>
      </c>
      <c r="X32" s="41">
        <v>11.87</v>
      </c>
      <c r="Y32" s="41">
        <v>11.94</v>
      </c>
      <c r="Z32" s="41">
        <v>11.76</v>
      </c>
      <c r="AA32" s="41">
        <v>11.81</v>
      </c>
      <c r="AB32" s="103">
        <v>6348900</v>
      </c>
      <c r="AC32" s="9">
        <v>11.81</v>
      </c>
      <c r="AD32" s="2">
        <f t="shared" si="1"/>
        <v>0.17999999999999972</v>
      </c>
      <c r="AE32" s="137">
        <f t="shared" si="2"/>
        <v>-2.5337837837837718E-3</v>
      </c>
    </row>
    <row r="33" spans="2:41" x14ac:dyDescent="0.25">
      <c r="B33" s="454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6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42759</v>
      </c>
      <c r="X33" s="41">
        <v>11.76</v>
      </c>
      <c r="Y33" s="41">
        <v>11.96</v>
      </c>
      <c r="Z33" s="41">
        <v>11.72</v>
      </c>
      <c r="AA33" s="41">
        <v>11.84</v>
      </c>
      <c r="AB33" s="103">
        <v>3617400</v>
      </c>
      <c r="AC33" s="9">
        <v>11.84</v>
      </c>
      <c r="AD33" s="2">
        <f t="shared" si="1"/>
        <v>0.24000000000000021</v>
      </c>
      <c r="AE33" s="137">
        <f t="shared" si="2"/>
        <v>1.1101622544833489E-2</v>
      </c>
      <c r="AL33" s="233"/>
      <c r="AO33" s="233"/>
    </row>
    <row r="34" spans="2:41" x14ac:dyDescent="0.25">
      <c r="B34" s="454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6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42758</v>
      </c>
      <c r="X34" s="41">
        <v>12.08</v>
      </c>
      <c r="Y34" s="41">
        <v>12.16</v>
      </c>
      <c r="Z34" s="41">
        <v>11.63</v>
      </c>
      <c r="AA34" s="41">
        <v>11.71</v>
      </c>
      <c r="AB34" s="103">
        <v>5840800</v>
      </c>
      <c r="AC34" s="9">
        <v>11.71</v>
      </c>
      <c r="AD34" s="2">
        <f t="shared" si="1"/>
        <v>0.52999999999999936</v>
      </c>
      <c r="AE34" s="137">
        <f t="shared" si="2"/>
        <v>-2.9826014913007404E-2</v>
      </c>
    </row>
    <row r="35" spans="2:41" x14ac:dyDescent="0.25">
      <c r="B35" s="454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6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42755</v>
      </c>
      <c r="X35" s="41">
        <v>12.33</v>
      </c>
      <c r="Y35" s="41">
        <v>12.43</v>
      </c>
      <c r="Z35" s="41">
        <v>12</v>
      </c>
      <c r="AA35" s="41">
        <v>12.07</v>
      </c>
      <c r="AB35" s="103">
        <v>4522900</v>
      </c>
      <c r="AC35" s="9">
        <v>12.07</v>
      </c>
      <c r="AD35" s="2">
        <f t="shared" si="1"/>
        <v>0.42999999999999972</v>
      </c>
      <c r="AE35" s="137">
        <f t="shared" si="2"/>
        <v>-9.8441345365052335E-3</v>
      </c>
      <c r="AL35" s="233"/>
      <c r="AO35" s="233"/>
    </row>
    <row r="36" spans="2:41" x14ac:dyDescent="0.25">
      <c r="B36" s="454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6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42754</v>
      </c>
      <c r="X36" s="41">
        <v>12.18</v>
      </c>
      <c r="Y36" s="41">
        <v>12.29</v>
      </c>
      <c r="Z36" s="41">
        <v>12.09</v>
      </c>
      <c r="AA36" s="41">
        <v>12.19</v>
      </c>
      <c r="AB36" s="103">
        <v>3993400</v>
      </c>
      <c r="AC36" s="9">
        <v>12.19</v>
      </c>
      <c r="AD36" s="2">
        <f t="shared" si="1"/>
        <v>0.19999999999999929</v>
      </c>
      <c r="AE36" s="137">
        <f t="shared" si="2"/>
        <v>-8.1967213114753079E-4</v>
      </c>
    </row>
    <row r="37" spans="2:41" x14ac:dyDescent="0.25">
      <c r="B37" s="454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6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42753</v>
      </c>
      <c r="X37" s="41">
        <v>12.37</v>
      </c>
      <c r="Y37" s="41">
        <v>12.44</v>
      </c>
      <c r="Z37" s="41">
        <v>12.19</v>
      </c>
      <c r="AA37" s="41">
        <v>12.2</v>
      </c>
      <c r="AB37" s="103">
        <v>3716800</v>
      </c>
      <c r="AC37" s="9">
        <v>12.2</v>
      </c>
      <c r="AD37" s="2">
        <f t="shared" si="1"/>
        <v>0.25</v>
      </c>
      <c r="AE37" s="137">
        <f t="shared" si="2"/>
        <v>-1.6921837228041969E-2</v>
      </c>
    </row>
    <row r="38" spans="2:41" x14ac:dyDescent="0.25">
      <c r="B38" s="454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6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42752</v>
      </c>
      <c r="X38" s="41">
        <v>12.35</v>
      </c>
      <c r="Y38" s="41">
        <v>12.6</v>
      </c>
      <c r="Z38" s="41">
        <v>12.19</v>
      </c>
      <c r="AA38" s="41">
        <v>12.41</v>
      </c>
      <c r="AB38" s="103">
        <v>3685700</v>
      </c>
      <c r="AC38" s="9">
        <v>12.41</v>
      </c>
      <c r="AD38" s="2">
        <f t="shared" si="1"/>
        <v>0.41000000000000014</v>
      </c>
      <c r="AE38" s="137">
        <f t="shared" si="2"/>
        <v>1.4717906786590351E-2</v>
      </c>
    </row>
    <row r="39" spans="2:41" x14ac:dyDescent="0.25">
      <c r="B39" s="454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6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42748</v>
      </c>
      <c r="X39" s="41">
        <v>12.09</v>
      </c>
      <c r="Y39" s="41">
        <v>12.24</v>
      </c>
      <c r="Z39" s="41">
        <v>12.09</v>
      </c>
      <c r="AA39" s="41">
        <v>12.23</v>
      </c>
      <c r="AB39" s="103">
        <v>2467800</v>
      </c>
      <c r="AC39" s="9">
        <v>12.23</v>
      </c>
      <c r="AD39" s="2">
        <f t="shared" si="1"/>
        <v>0.15000000000000036</v>
      </c>
      <c r="AE39" s="137">
        <f t="shared" si="2"/>
        <v>8.2440230832645511E-3</v>
      </c>
    </row>
    <row r="40" spans="2:41" x14ac:dyDescent="0.25">
      <c r="B40" s="454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6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42747</v>
      </c>
      <c r="X40" s="41">
        <v>12.04</v>
      </c>
      <c r="Y40" s="41">
        <v>12.18</v>
      </c>
      <c r="Z40" s="41">
        <v>11.99</v>
      </c>
      <c r="AA40" s="41">
        <v>12.13</v>
      </c>
      <c r="AB40" s="103">
        <v>2737000</v>
      </c>
      <c r="AC40" s="9">
        <v>12.13</v>
      </c>
      <c r="AD40" s="2">
        <f t="shared" si="1"/>
        <v>0.1899999999999995</v>
      </c>
      <c r="AE40" s="137">
        <f t="shared" si="2"/>
        <v>8.2508250825097385E-4</v>
      </c>
    </row>
    <row r="41" spans="2:41" x14ac:dyDescent="0.25">
      <c r="B41" s="454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6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42746</v>
      </c>
      <c r="X41" s="41">
        <v>11.89</v>
      </c>
      <c r="Y41" s="41">
        <v>12.16</v>
      </c>
      <c r="Z41" s="41">
        <v>11.89</v>
      </c>
      <c r="AA41" s="41">
        <v>12.12</v>
      </c>
      <c r="AB41" s="103">
        <v>2583900</v>
      </c>
      <c r="AC41" s="9">
        <v>12.12</v>
      </c>
      <c r="AD41" s="2">
        <f t="shared" si="1"/>
        <v>0.26999999999999957</v>
      </c>
      <c r="AE41" s="137">
        <f t="shared" si="2"/>
        <v>2.2784810126582178E-2</v>
      </c>
      <c r="AL41" s="233"/>
      <c r="AO41" s="233"/>
    </row>
    <row r="42" spans="2:41" ht="20.25" thickBot="1" x14ac:dyDescent="0.35">
      <c r="B42" s="454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6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1" t="s">
        <v>78</v>
      </c>
      <c r="P42" s="371"/>
      <c r="T42" s="104" t="s">
        <v>92</v>
      </c>
      <c r="U42" s="108"/>
      <c r="W42" s="122">
        <v>42745</v>
      </c>
      <c r="X42" s="41">
        <v>11.87</v>
      </c>
      <c r="Y42" s="41">
        <v>11.89</v>
      </c>
      <c r="Z42" s="41">
        <v>11.7</v>
      </c>
      <c r="AA42" s="41">
        <v>11.85</v>
      </c>
      <c r="AB42" s="103">
        <v>2020600</v>
      </c>
      <c r="AC42" s="9">
        <v>11.85</v>
      </c>
      <c r="AD42" s="2">
        <f t="shared" si="1"/>
        <v>0.19000000000000128</v>
      </c>
      <c r="AE42" s="137">
        <f t="shared" si="2"/>
        <v>1.6906170752324368E-3</v>
      </c>
    </row>
    <row r="43" spans="2:41" ht="15.75" thickTop="1" x14ac:dyDescent="0.25">
      <c r="B43" s="454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6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12.111000000000001</v>
      </c>
      <c r="T43" s="107" t="s">
        <v>98</v>
      </c>
      <c r="U43" s="105">
        <v>11.86</v>
      </c>
      <c r="W43" s="122">
        <v>42744</v>
      </c>
      <c r="X43" s="41">
        <v>12.04</v>
      </c>
      <c r="Y43" s="41">
        <v>12.04</v>
      </c>
      <c r="Z43" s="41">
        <v>11.77</v>
      </c>
      <c r="AA43" s="41">
        <v>11.83</v>
      </c>
      <c r="AB43" s="103">
        <v>2341900</v>
      </c>
      <c r="AC43" s="9">
        <v>11.83</v>
      </c>
      <c r="AD43" s="2">
        <f t="shared" si="1"/>
        <v>0.26999999999999957</v>
      </c>
      <c r="AE43" s="137">
        <f t="shared" si="2"/>
        <v>-1.988400994200501E-2</v>
      </c>
    </row>
    <row r="44" spans="2:41" x14ac:dyDescent="0.25">
      <c r="B44" s="454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6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12.000900000000001</v>
      </c>
      <c r="T44" s="107" t="s">
        <v>99</v>
      </c>
      <c r="U44" s="105">
        <v>11.83</v>
      </c>
      <c r="W44" s="122">
        <v>42741</v>
      </c>
      <c r="X44" s="41">
        <v>11.7</v>
      </c>
      <c r="Y44" s="41">
        <v>12.09</v>
      </c>
      <c r="Z44" s="41">
        <v>11.59</v>
      </c>
      <c r="AA44" s="41">
        <v>12.07</v>
      </c>
      <c r="AB44" s="103">
        <v>3296700</v>
      </c>
      <c r="AC44" s="9">
        <v>12.07</v>
      </c>
      <c r="AD44" s="2">
        <f t="shared" si="1"/>
        <v>0.5</v>
      </c>
      <c r="AE44" s="137">
        <f t="shared" si="2"/>
        <v>3.5162950257289882E-2</v>
      </c>
    </row>
    <row r="45" spans="2:41" x14ac:dyDescent="0.25">
      <c r="B45" s="454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6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11.8908</v>
      </c>
      <c r="Q45" s="2"/>
      <c r="T45" s="107" t="s">
        <v>100</v>
      </c>
      <c r="U45" s="105" t="s">
        <v>129</v>
      </c>
      <c r="W45" s="122">
        <v>42740</v>
      </c>
      <c r="X45" s="41">
        <v>11.76</v>
      </c>
      <c r="Y45" s="41">
        <v>11.82</v>
      </c>
      <c r="Z45" s="41">
        <v>11.6</v>
      </c>
      <c r="AA45" s="41">
        <v>11.66</v>
      </c>
      <c r="AB45" s="103">
        <v>5572300</v>
      </c>
      <c r="AC45" s="9">
        <v>11.66</v>
      </c>
      <c r="AD45" s="2">
        <f t="shared" si="1"/>
        <v>0.22000000000000064</v>
      </c>
      <c r="AE45" s="137">
        <f t="shared" si="2"/>
        <v>-3.4188034188032956E-3</v>
      </c>
      <c r="AL45" s="233"/>
      <c r="AO45" s="233"/>
    </row>
    <row r="46" spans="2:41" x14ac:dyDescent="0.25">
      <c r="B46" s="454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6">
        <v>42361</v>
      </c>
      <c r="H46" s="81"/>
      <c r="I46" s="78"/>
      <c r="J46" s="44"/>
      <c r="K46" s="44"/>
      <c r="O46" s="82">
        <v>1.07</v>
      </c>
      <c r="P46" s="82">
        <f t="shared" si="7"/>
        <v>11.780700000000001</v>
      </c>
      <c r="Q46" s="2"/>
      <c r="T46" s="107" t="s">
        <v>101</v>
      </c>
      <c r="U46" s="105" t="s">
        <v>129</v>
      </c>
      <c r="W46" s="122">
        <v>42739</v>
      </c>
      <c r="X46" s="41">
        <v>11.42</v>
      </c>
      <c r="Y46" s="41">
        <v>11.8</v>
      </c>
      <c r="Z46" s="41">
        <v>11.42</v>
      </c>
      <c r="AA46" s="41">
        <v>11.7</v>
      </c>
      <c r="AB46" s="103">
        <v>5951100</v>
      </c>
      <c r="AC46" s="9">
        <v>11.7</v>
      </c>
      <c r="AD46" s="2">
        <f t="shared" si="1"/>
        <v>0.38000000000000078</v>
      </c>
      <c r="AE46" s="137">
        <f t="shared" si="2"/>
        <v>2.1834061135371119E-2</v>
      </c>
    </row>
    <row r="47" spans="2:41" x14ac:dyDescent="0.25">
      <c r="B47" s="704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6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11.6706</v>
      </c>
      <c r="Q47" s="2"/>
      <c r="T47" s="107" t="s">
        <v>102</v>
      </c>
      <c r="U47" s="105">
        <v>15.07</v>
      </c>
      <c r="W47" s="122">
        <v>42738</v>
      </c>
      <c r="X47" s="41">
        <v>11.46</v>
      </c>
      <c r="Y47" s="41">
        <v>11.54</v>
      </c>
      <c r="Z47" s="41">
        <v>11.32</v>
      </c>
      <c r="AA47" s="41">
        <v>11.45</v>
      </c>
      <c r="AB47" s="103">
        <v>3167400</v>
      </c>
      <c r="AC47" s="9">
        <v>11.45</v>
      </c>
      <c r="AD47" s="2">
        <f t="shared" si="1"/>
        <v>0.21999999999999886</v>
      </c>
      <c r="AE47" s="137">
        <f t="shared" si="2"/>
        <v>1.7497812773403787E-3</v>
      </c>
    </row>
    <row r="48" spans="2:41" x14ac:dyDescent="0.25">
      <c r="B48" s="704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4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11.560500000000001</v>
      </c>
      <c r="Q48" s="2"/>
      <c r="T48" s="107" t="s">
        <v>103</v>
      </c>
      <c r="U48" s="105">
        <v>1.21851</v>
      </c>
      <c r="W48" s="122">
        <v>42734</v>
      </c>
      <c r="X48" s="41">
        <v>11.61</v>
      </c>
      <c r="Y48" s="41">
        <v>11.61</v>
      </c>
      <c r="Z48" s="41">
        <v>11.4</v>
      </c>
      <c r="AA48" s="41">
        <v>11.43</v>
      </c>
      <c r="AB48" s="103">
        <v>2775400</v>
      </c>
      <c r="AC48" s="9">
        <v>11.43</v>
      </c>
      <c r="AD48" s="2">
        <f t="shared" si="1"/>
        <v>0.20999999999999908</v>
      </c>
      <c r="AE48" s="137">
        <f t="shared" si="2"/>
        <v>-1.8041237113402109E-2</v>
      </c>
    </row>
    <row r="49" spans="2:42" x14ac:dyDescent="0.25">
      <c r="B49" s="454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4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11.4504</v>
      </c>
      <c r="Q49" s="2"/>
      <c r="T49" s="107" t="s">
        <v>122</v>
      </c>
      <c r="U49" s="105" t="s">
        <v>482</v>
      </c>
      <c r="W49" s="122">
        <v>42733</v>
      </c>
      <c r="X49" s="41">
        <v>11.45</v>
      </c>
      <c r="Y49" s="41">
        <v>11.65</v>
      </c>
      <c r="Z49" s="41">
        <v>11.39</v>
      </c>
      <c r="AA49" s="41">
        <v>11.64</v>
      </c>
      <c r="AB49" s="103">
        <v>2924800</v>
      </c>
      <c r="AC49" s="9">
        <v>11.64</v>
      </c>
      <c r="AD49" s="2">
        <f t="shared" si="1"/>
        <v>0.25999999999999979</v>
      </c>
      <c r="AE49" s="137">
        <f t="shared" si="2"/>
        <v>1.5706806282722585E-2</v>
      </c>
    </row>
    <row r="50" spans="2:42" x14ac:dyDescent="0.25">
      <c r="B50" s="454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4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11.340300000000001</v>
      </c>
      <c r="Q50" s="2"/>
      <c r="T50" s="107"/>
      <c r="U50" s="105"/>
      <c r="W50" s="122">
        <v>42732</v>
      </c>
      <c r="X50" s="41">
        <v>11.78</v>
      </c>
      <c r="Y50" s="41">
        <v>11.79</v>
      </c>
      <c r="Z50" s="41">
        <v>11.46</v>
      </c>
      <c r="AA50" s="41">
        <v>11.46</v>
      </c>
      <c r="AB50" s="103">
        <v>3649000</v>
      </c>
      <c r="AC50" s="9">
        <v>11.46</v>
      </c>
      <c r="AD50" s="2">
        <f t="shared" si="1"/>
        <v>0.32999999999999829</v>
      </c>
      <c r="AE50" s="137">
        <f t="shared" si="2"/>
        <v>-2.1349274124679796E-2</v>
      </c>
    </row>
    <row r="51" spans="2:42" x14ac:dyDescent="0.25">
      <c r="B51" s="454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4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11.2302</v>
      </c>
      <c r="Q51" s="2"/>
      <c r="T51" s="107" t="s">
        <v>105</v>
      </c>
      <c r="U51" s="105" t="s">
        <v>638</v>
      </c>
      <c r="W51" s="122">
        <v>42731</v>
      </c>
      <c r="X51" s="41">
        <v>11.69</v>
      </c>
      <c r="Y51" s="41">
        <v>11.81</v>
      </c>
      <c r="Z51" s="41">
        <v>11.6</v>
      </c>
      <c r="AA51" s="41">
        <v>11.71</v>
      </c>
      <c r="AB51" s="103">
        <v>2661400</v>
      </c>
      <c r="AC51" s="9">
        <v>11.71</v>
      </c>
      <c r="AD51" s="2">
        <f t="shared" si="1"/>
        <v>0.21000000000000085</v>
      </c>
      <c r="AE51" s="137">
        <f t="shared" si="2"/>
        <v>6.0137457044673326E-3</v>
      </c>
    </row>
    <row r="52" spans="2:42" x14ac:dyDescent="0.25">
      <c r="B52" s="454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4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11.120100000000001</v>
      </c>
      <c r="Q52" s="2"/>
      <c r="T52" s="107" t="s">
        <v>106</v>
      </c>
      <c r="U52" s="105" t="s">
        <v>437</v>
      </c>
      <c r="W52" s="122">
        <v>42727</v>
      </c>
      <c r="X52" s="41">
        <v>11.58</v>
      </c>
      <c r="Y52" s="41">
        <v>11.67</v>
      </c>
      <c r="Z52" s="41">
        <v>11.47</v>
      </c>
      <c r="AA52" s="41">
        <v>11.64</v>
      </c>
      <c r="AB52" s="103">
        <v>1850000</v>
      </c>
      <c r="AC52" s="9">
        <v>11.64</v>
      </c>
      <c r="AD52" s="2">
        <f t="shared" si="1"/>
        <v>0.19999999999999929</v>
      </c>
      <c r="AE52" s="137">
        <f t="shared" si="2"/>
        <v>8.6655112651647936E-3</v>
      </c>
    </row>
    <row r="53" spans="2:42" x14ac:dyDescent="0.25">
      <c r="B53" s="454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4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11.01</v>
      </c>
      <c r="Q53" s="2"/>
      <c r="T53" s="107" t="s">
        <v>107</v>
      </c>
      <c r="U53" s="106">
        <v>2018322</v>
      </c>
      <c r="W53" s="122">
        <v>42726</v>
      </c>
      <c r="X53" s="41">
        <v>11.53</v>
      </c>
      <c r="Y53" s="41">
        <v>11.64</v>
      </c>
      <c r="Z53" s="41">
        <v>11.45</v>
      </c>
      <c r="AA53" s="41">
        <v>11.54</v>
      </c>
      <c r="AB53" s="103">
        <v>4786100</v>
      </c>
      <c r="AC53" s="9">
        <v>11.54</v>
      </c>
      <c r="AD53" s="2">
        <f t="shared" si="1"/>
        <v>0.19000000000000128</v>
      </c>
      <c r="AE53" s="137">
        <f t="shared" si="2"/>
        <v>2.6064291920069316E-3</v>
      </c>
      <c r="AL53" s="233"/>
      <c r="AO53" s="233"/>
    </row>
    <row r="54" spans="2:42" x14ac:dyDescent="0.25">
      <c r="B54" s="454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4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10.899899999999999</v>
      </c>
      <c r="Q54" s="2"/>
      <c r="T54" s="107" t="s">
        <v>110</v>
      </c>
      <c r="U54" s="106">
        <v>4550680</v>
      </c>
      <c r="W54" s="122">
        <v>42725</v>
      </c>
      <c r="X54" s="41">
        <v>11.49</v>
      </c>
      <c r="Y54" s="41">
        <v>11.67</v>
      </c>
      <c r="Z54" s="41">
        <v>11.44</v>
      </c>
      <c r="AA54" s="41">
        <v>11.51</v>
      </c>
      <c r="AB54" s="103">
        <v>2531700</v>
      </c>
      <c r="AC54" s="9">
        <v>11.51</v>
      </c>
      <c r="AD54" s="2">
        <f t="shared" si="1"/>
        <v>0.23000000000000043</v>
      </c>
      <c r="AE54" s="137">
        <f t="shared" si="2"/>
        <v>3.4873583260679464E-3</v>
      </c>
    </row>
    <row r="55" spans="2:42" x14ac:dyDescent="0.25">
      <c r="B55" s="454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4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10.7898</v>
      </c>
      <c r="T55" s="107" t="s">
        <v>108</v>
      </c>
      <c r="U55" s="105" t="s">
        <v>558</v>
      </c>
      <c r="W55" s="122">
        <v>42724</v>
      </c>
      <c r="X55" s="41">
        <v>11.63</v>
      </c>
      <c r="Y55" s="41">
        <v>11.69</v>
      </c>
      <c r="Z55" s="41">
        <v>11.43</v>
      </c>
      <c r="AA55" s="41">
        <v>11.47</v>
      </c>
      <c r="AB55" s="103">
        <v>2599500</v>
      </c>
      <c r="AC55" s="9">
        <v>11.47</v>
      </c>
      <c r="AD55" s="2">
        <f t="shared" si="1"/>
        <v>0.25999999999999979</v>
      </c>
      <c r="AE55" s="137">
        <f t="shared" si="2"/>
        <v>-1.713796058269057E-2</v>
      </c>
    </row>
    <row r="56" spans="2:42" x14ac:dyDescent="0.25">
      <c r="B56" s="454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4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10.679699999999999</v>
      </c>
      <c r="T56" s="107" t="s">
        <v>111</v>
      </c>
      <c r="U56" s="105">
        <v>45.62</v>
      </c>
      <c r="W56" s="122">
        <v>42723</v>
      </c>
      <c r="X56" s="41">
        <v>11.6</v>
      </c>
      <c r="Y56" s="41">
        <v>11.73</v>
      </c>
      <c r="Z56" s="41">
        <v>11.48</v>
      </c>
      <c r="AA56" s="41">
        <v>11.67</v>
      </c>
      <c r="AB56" s="103">
        <v>3753100</v>
      </c>
      <c r="AC56" s="9">
        <v>11.67</v>
      </c>
      <c r="AD56" s="2">
        <f t="shared" si="1"/>
        <v>0.25</v>
      </c>
      <c r="AE56" s="137">
        <f t="shared" si="2"/>
        <v>9.5155709342560346E-3</v>
      </c>
    </row>
    <row r="57" spans="2:42" x14ac:dyDescent="0.25">
      <c r="B57" s="454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4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10.569599999999999</v>
      </c>
      <c r="T57" s="107" t="s">
        <v>112</v>
      </c>
      <c r="U57" s="105">
        <v>0.26</v>
      </c>
      <c r="W57" s="122">
        <v>42720</v>
      </c>
      <c r="X57" s="41">
        <v>11.45</v>
      </c>
      <c r="Y57" s="41">
        <v>11.67</v>
      </c>
      <c r="Z57" s="41">
        <v>11.45</v>
      </c>
      <c r="AA57" s="41">
        <v>11.56</v>
      </c>
      <c r="AB57" s="103">
        <v>18758200</v>
      </c>
      <c r="AC57" s="9">
        <v>11.56</v>
      </c>
      <c r="AD57" s="2">
        <f t="shared" si="1"/>
        <v>0.22000000000000064</v>
      </c>
      <c r="AE57" s="137">
        <f t="shared" si="2"/>
        <v>5.2173913043478404E-3</v>
      </c>
      <c r="AL57" s="233"/>
      <c r="AO57" s="233"/>
    </row>
    <row r="58" spans="2:42" x14ac:dyDescent="0.25">
      <c r="B58" s="454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4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10.459499999999998</v>
      </c>
      <c r="T58" s="107" t="s">
        <v>109</v>
      </c>
      <c r="U58" s="105" t="s">
        <v>123</v>
      </c>
      <c r="W58" s="122">
        <v>42719</v>
      </c>
      <c r="X58" s="41">
        <v>11.33</v>
      </c>
      <c r="Y58" s="41">
        <v>11.54</v>
      </c>
      <c r="Z58" s="41">
        <v>11.21</v>
      </c>
      <c r="AA58" s="41">
        <v>11.5</v>
      </c>
      <c r="AB58" s="103">
        <v>4116700</v>
      </c>
      <c r="AC58" s="9">
        <v>11.5</v>
      </c>
      <c r="AD58" s="2">
        <f t="shared" si="1"/>
        <v>0.32999999999999829</v>
      </c>
      <c r="AE58" s="137">
        <f t="shared" si="2"/>
        <v>1.2323943661971981E-2</v>
      </c>
    </row>
    <row r="59" spans="2:42" x14ac:dyDescent="0.25">
      <c r="B59" s="454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3"/>
      <c r="H59" s="7"/>
      <c r="I59" s="78"/>
      <c r="J59" s="44"/>
      <c r="K59" s="44"/>
      <c r="O59" s="82">
        <v>0.94</v>
      </c>
      <c r="P59" s="82">
        <f t="shared" si="7"/>
        <v>10.349399999999999</v>
      </c>
      <c r="W59" s="122">
        <v>42718</v>
      </c>
      <c r="X59" s="41">
        <v>11.57</v>
      </c>
      <c r="Y59" s="41">
        <v>11.71</v>
      </c>
      <c r="Z59" s="41">
        <v>11.35</v>
      </c>
      <c r="AA59" s="41">
        <v>11.36</v>
      </c>
      <c r="AB59" s="103">
        <v>3446100</v>
      </c>
      <c r="AC59" s="9">
        <v>11.36</v>
      </c>
      <c r="AD59" s="2">
        <f t="shared" si="1"/>
        <v>0.36000000000000121</v>
      </c>
      <c r="AE59" s="137">
        <f t="shared" si="2"/>
        <v>-1.730103806228378E-2</v>
      </c>
      <c r="AL59" s="233"/>
    </row>
    <row r="60" spans="2:42" x14ac:dyDescent="0.25">
      <c r="B60" s="454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4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10.2393</v>
      </c>
      <c r="W60" s="122">
        <v>42717</v>
      </c>
      <c r="X60" s="41">
        <v>11.54</v>
      </c>
      <c r="Y60" s="41">
        <v>11.63</v>
      </c>
      <c r="Z60" s="41">
        <v>11.43</v>
      </c>
      <c r="AA60" s="41">
        <v>11.56</v>
      </c>
      <c r="AB60" s="103">
        <v>3397400</v>
      </c>
      <c r="AC60" s="9">
        <v>11.56</v>
      </c>
      <c r="AD60" s="2">
        <f t="shared" si="1"/>
        <v>0.20000000000000107</v>
      </c>
      <c r="AE60" s="137">
        <f t="shared" si="2"/>
        <v>1.1373578302712239E-2</v>
      </c>
    </row>
    <row r="61" spans="2:42" x14ac:dyDescent="0.25">
      <c r="B61" s="454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4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10.129200000000001</v>
      </c>
      <c r="W61" s="122">
        <v>42716</v>
      </c>
      <c r="X61" s="41">
        <v>11.59</v>
      </c>
      <c r="Y61" s="41">
        <v>11.78</v>
      </c>
      <c r="Z61" s="41">
        <v>11.37</v>
      </c>
      <c r="AA61" s="41">
        <v>11.43</v>
      </c>
      <c r="AB61" s="103">
        <v>4009800</v>
      </c>
      <c r="AC61" s="9">
        <v>11.43</v>
      </c>
      <c r="AD61" s="2">
        <f t="shared" si="1"/>
        <v>0.41000000000000014</v>
      </c>
      <c r="AE61" s="137">
        <f t="shared" si="2"/>
        <v>-1.9725557461406584E-2</v>
      </c>
      <c r="AL61" s="233"/>
      <c r="AO61" s="233"/>
    </row>
    <row r="62" spans="2:42" x14ac:dyDescent="0.25">
      <c r="B62" s="454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4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10.0191</v>
      </c>
      <c r="W62" s="122">
        <v>42713</v>
      </c>
      <c r="X62" s="41">
        <v>11.4</v>
      </c>
      <c r="Y62" s="41">
        <v>11.74</v>
      </c>
      <c r="Z62" s="41">
        <v>11.28</v>
      </c>
      <c r="AA62" s="41">
        <v>11.66</v>
      </c>
      <c r="AB62" s="103">
        <v>9061400</v>
      </c>
      <c r="AC62" s="9">
        <v>11.66</v>
      </c>
      <c r="AD62" s="2">
        <f t="shared" si="1"/>
        <v>0.46000000000000085</v>
      </c>
      <c r="AE62" s="137">
        <f t="shared" si="2"/>
        <v>3.3687943262411313E-2</v>
      </c>
    </row>
    <row r="63" spans="2:42" x14ac:dyDescent="0.25">
      <c r="B63" s="454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4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9.9090000000000007</v>
      </c>
      <c r="W63" s="122">
        <v>42712</v>
      </c>
      <c r="X63" s="41">
        <v>11.05</v>
      </c>
      <c r="Y63" s="41">
        <v>11.41</v>
      </c>
      <c r="Z63" s="41">
        <v>10.95</v>
      </c>
      <c r="AA63" s="41">
        <v>11.28</v>
      </c>
      <c r="AB63" s="103">
        <v>6680000</v>
      </c>
      <c r="AC63" s="9">
        <v>11.28</v>
      </c>
      <c r="AD63" s="2">
        <f t="shared" si="1"/>
        <v>0.46000000000000085</v>
      </c>
      <c r="AE63" s="137">
        <f t="shared" si="2"/>
        <v>1.9891500904158921E-2</v>
      </c>
      <c r="AL63" s="233"/>
      <c r="AO63" s="233"/>
      <c r="AP63" s="233"/>
    </row>
    <row r="64" spans="2:42" ht="15" customHeight="1" x14ac:dyDescent="0.25">
      <c r="B64" s="454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4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42711</v>
      </c>
      <c r="X64" s="41">
        <v>11.1</v>
      </c>
      <c r="Y64" s="41">
        <v>11.21</v>
      </c>
      <c r="Z64" s="41">
        <v>11.05</v>
      </c>
      <c r="AA64" s="41">
        <v>11.06</v>
      </c>
      <c r="AB64" s="103">
        <v>5592200</v>
      </c>
      <c r="AC64" s="9">
        <v>11.06</v>
      </c>
      <c r="AD64" s="2">
        <f t="shared" si="1"/>
        <v>0.16000000000000014</v>
      </c>
      <c r="AE64" s="137">
        <f t="shared" si="2"/>
        <v>-3.6036036036035668E-3</v>
      </c>
    </row>
    <row r="65" spans="1:41" ht="16.5" customHeight="1" x14ac:dyDescent="0.25">
      <c r="A65" s="571"/>
      <c r="B65" s="454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4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42710</v>
      </c>
      <c r="X65" s="41">
        <v>10.9</v>
      </c>
      <c r="Y65" s="41">
        <v>11.16</v>
      </c>
      <c r="Z65" s="41">
        <v>10.89</v>
      </c>
      <c r="AA65" s="41">
        <v>11.1</v>
      </c>
      <c r="AB65" s="103">
        <v>6864300</v>
      </c>
      <c r="AC65" s="9">
        <v>11.1</v>
      </c>
      <c r="AD65" s="2">
        <f t="shared" si="1"/>
        <v>0.26999999999999957</v>
      </c>
      <c r="AE65" s="137">
        <f t="shared" si="2"/>
        <v>2.4930747922437657E-2</v>
      </c>
      <c r="AL65" s="233"/>
      <c r="AO65" s="233"/>
    </row>
    <row r="66" spans="1:41" x14ac:dyDescent="0.25">
      <c r="A66" s="571"/>
      <c r="B66" s="454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4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42709</v>
      </c>
      <c r="X66" s="41">
        <v>10.52</v>
      </c>
      <c r="Y66" s="41">
        <v>10.86</v>
      </c>
      <c r="Z66" s="41">
        <v>10.45</v>
      </c>
      <c r="AA66" s="41">
        <v>10.83</v>
      </c>
      <c r="AB66" s="103">
        <v>4338100</v>
      </c>
      <c r="AC66" s="9">
        <v>10.83</v>
      </c>
      <c r="AD66" s="2">
        <f t="shared" si="1"/>
        <v>0.41000000000000014</v>
      </c>
      <c r="AE66" s="137">
        <f t="shared" si="2"/>
        <v>3.1428571428571361E-2</v>
      </c>
    </row>
    <row r="67" spans="1:41" ht="17.25" customHeight="1" x14ac:dyDescent="0.25">
      <c r="A67" s="571"/>
      <c r="B67" s="454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4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42706</v>
      </c>
      <c r="X67" s="41">
        <v>10.52</v>
      </c>
      <c r="Y67" s="41">
        <v>10.76</v>
      </c>
      <c r="Z67" s="41">
        <v>10.41</v>
      </c>
      <c r="AA67" s="41">
        <v>10.5</v>
      </c>
      <c r="AB67" s="103">
        <v>6667000</v>
      </c>
      <c r="AC67" s="9">
        <v>10.5</v>
      </c>
      <c r="AD67" s="2">
        <f>Y67-Z67</f>
        <v>0.34999999999999964</v>
      </c>
      <c r="AE67" s="137" t="e">
        <f>AC67/AC68-1</f>
        <v>#DIV/0!</v>
      </c>
      <c r="AL67" s="233"/>
    </row>
    <row r="68" spans="1:41" ht="18" customHeight="1" x14ac:dyDescent="0.25">
      <c r="A68" s="591"/>
      <c r="B68" s="454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4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7" t="e">
        <f>AC68/AC69-1</f>
        <v>#DIV/0!</v>
      </c>
    </row>
    <row r="69" spans="1:41" x14ac:dyDescent="0.25">
      <c r="A69" s="591"/>
      <c r="B69" s="454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4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91"/>
      <c r="B70" s="454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4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91"/>
      <c r="B71" s="454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4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91"/>
      <c r="B72" s="454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4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91"/>
      <c r="B73" s="454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4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</row>
    <row r="74" spans="1:41" x14ac:dyDescent="0.25">
      <c r="B74" s="454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4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</row>
    <row r="75" spans="1:41" x14ac:dyDescent="0.25">
      <c r="B75" s="454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4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4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4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4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4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4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4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4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4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4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4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4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4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4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4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4">
        <v>42641</v>
      </c>
      <c r="C83" s="7">
        <v>200</v>
      </c>
      <c r="D83" s="78">
        <v>13.32</v>
      </c>
      <c r="E83" s="44">
        <v>0</v>
      </c>
      <c r="F83" s="44">
        <f t="shared" ref="F83:F106" si="12">C83*D83+E83</f>
        <v>2664</v>
      </c>
      <c r="G83" s="454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4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4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4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4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1"/>
    </row>
    <row r="86" spans="2:21" ht="15" customHeight="1" x14ac:dyDescent="0.25">
      <c r="B86" s="454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4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1"/>
      <c r="Q86" s="1"/>
      <c r="R86" s="2"/>
    </row>
    <row r="87" spans="2:21" x14ac:dyDescent="0.25">
      <c r="B87" s="454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4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9"/>
    </row>
    <row r="88" spans="2:21" x14ac:dyDescent="0.25">
      <c r="B88" s="454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4">
        <v>42733</v>
      </c>
      <c r="H88" s="184">
        <v>1000</v>
      </c>
      <c r="I88" s="79">
        <v>11.63</v>
      </c>
      <c r="J88" s="2">
        <v>0.25</v>
      </c>
      <c r="K88" s="2">
        <f t="shared" si="9"/>
        <v>11629.75</v>
      </c>
      <c r="M88" s="499"/>
    </row>
    <row r="89" spans="2:21" ht="15" customHeight="1" x14ac:dyDescent="0.25">
      <c r="B89" s="454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4">
        <v>42766</v>
      </c>
      <c r="H89" s="7">
        <v>200</v>
      </c>
      <c r="I89" s="78">
        <v>11.65</v>
      </c>
      <c r="J89" s="44">
        <v>0.05</v>
      </c>
      <c r="K89" s="44">
        <f>H89*I89-J89</f>
        <v>2329.9499999999998</v>
      </c>
      <c r="U89" s="82"/>
    </row>
    <row r="90" spans="2:21" x14ac:dyDescent="0.25">
      <c r="B90" s="454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4">
        <v>42769</v>
      </c>
      <c r="H90" s="81">
        <v>300</v>
      </c>
      <c r="I90" s="78">
        <v>11.7</v>
      </c>
      <c r="J90" s="44">
        <v>0.08</v>
      </c>
      <c r="K90" s="44">
        <f>H90*I90-J90</f>
        <v>3509.92</v>
      </c>
    </row>
    <row r="91" spans="2:21" x14ac:dyDescent="0.25">
      <c r="B91" s="454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4">
        <v>42774</v>
      </c>
      <c r="H91" s="81">
        <v>500</v>
      </c>
      <c r="I91" s="78">
        <v>11.38</v>
      </c>
      <c r="J91" s="44">
        <v>0.12</v>
      </c>
      <c r="K91" s="44">
        <f>H91*I91-J91</f>
        <v>5689.88</v>
      </c>
      <c r="O91" s="1"/>
    </row>
    <row r="92" spans="2:21" ht="15" customHeight="1" x14ac:dyDescent="0.25">
      <c r="B92" s="454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4">
        <v>42774</v>
      </c>
      <c r="H92" s="7">
        <v>500</v>
      </c>
      <c r="I92" s="78">
        <v>11.42</v>
      </c>
      <c r="J92" s="44">
        <v>2.62</v>
      </c>
      <c r="K92" s="44">
        <f>H92*I92-J92</f>
        <v>5707.38</v>
      </c>
    </row>
    <row r="93" spans="2:21" x14ac:dyDescent="0.25">
      <c r="B93" s="454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4">
        <v>42776</v>
      </c>
      <c r="H93">
        <v>500</v>
      </c>
      <c r="I93" s="79">
        <v>11.58</v>
      </c>
      <c r="J93" s="2">
        <v>0.13</v>
      </c>
      <c r="K93" s="2">
        <f>H93*I93-J93</f>
        <v>5789.87</v>
      </c>
    </row>
    <row r="94" spans="2:21" x14ac:dyDescent="0.25">
      <c r="B94" s="454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P94" s="2"/>
    </row>
    <row r="95" spans="2:21" x14ac:dyDescent="0.25">
      <c r="B95" s="454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</row>
    <row r="96" spans="2:21" x14ac:dyDescent="0.25">
      <c r="B96" s="617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</row>
    <row r="97" spans="1:15" x14ac:dyDescent="0.25">
      <c r="B97" s="454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O97" s="1"/>
    </row>
    <row r="98" spans="1:15" x14ac:dyDescent="0.25">
      <c r="A98" s="705"/>
      <c r="B98" s="454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O98" s="1"/>
    </row>
    <row r="99" spans="1:15" x14ac:dyDescent="0.25">
      <c r="A99" s="705"/>
      <c r="B99" s="454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</row>
    <row r="100" spans="1:15" x14ac:dyDescent="0.25">
      <c r="B100" s="454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73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7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7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7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98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498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17" spans="1:13" x14ac:dyDescent="0.25">
      <c r="C117" s="4"/>
      <c r="D117" s="239"/>
      <c r="E117" s="3"/>
      <c r="F117" s="3"/>
    </row>
    <row r="118" spans="1:13" x14ac:dyDescent="0.25">
      <c r="A118" s="32" t="s">
        <v>81</v>
      </c>
      <c r="B118" s="14"/>
      <c r="C118" s="14">
        <f>SUM(C2:C117)</f>
        <v>41105</v>
      </c>
      <c r="D118" s="80"/>
      <c r="E118" s="14"/>
      <c r="F118" s="18">
        <f>SUM(F2:F117)</f>
        <v>580274.78</v>
      </c>
      <c r="G118" s="14"/>
      <c r="H118" s="14">
        <f>SUM(H2:H117)</f>
        <v>38605</v>
      </c>
      <c r="I118" s="80"/>
      <c r="J118" s="14"/>
      <c r="K118" s="18">
        <f>SUM(K2:K117)</f>
        <v>525758.72999999986</v>
      </c>
      <c r="L118" s="14"/>
      <c r="M118" s="14"/>
    </row>
    <row r="119" spans="1:13" ht="15.75" thickBot="1" x14ac:dyDescent="0.3">
      <c r="A119" s="353" t="s">
        <v>197</v>
      </c>
      <c r="B119" s="354"/>
      <c r="C119" s="355">
        <f>SumByColor($A$119,C2:C117)</f>
        <v>37105</v>
      </c>
      <c r="D119" s="355"/>
      <c r="E119" s="355"/>
      <c r="F119" s="356">
        <f>SumByColor($A$119,F2:F117)</f>
        <v>507600</v>
      </c>
      <c r="G119" s="355"/>
      <c r="H119" s="355">
        <f>SumByColor($A$119,H2:H117)</f>
        <v>37105</v>
      </c>
      <c r="I119" s="355"/>
      <c r="J119" s="355"/>
      <c r="K119" s="356">
        <f>SumByColor($A$119,K2:K117)</f>
        <v>508342</v>
      </c>
      <c r="L119" s="355"/>
      <c r="M119" s="356">
        <f>SumByColor($A$119,M2:M117)</f>
        <v>0</v>
      </c>
    </row>
    <row r="123" spans="1:13" x14ac:dyDescent="0.25">
      <c r="B123" s="190" t="s">
        <v>114</v>
      </c>
      <c r="C123" s="190" t="s">
        <v>147</v>
      </c>
      <c r="D123" s="198" t="s">
        <v>146</v>
      </c>
      <c r="E123" s="194" t="s">
        <v>148</v>
      </c>
      <c r="F123" s="194" t="s">
        <v>65</v>
      </c>
      <c r="G123" s="228" t="s">
        <v>152</v>
      </c>
      <c r="H123" s="194" t="s">
        <v>88</v>
      </c>
      <c r="I123" s="240" t="s">
        <v>152</v>
      </c>
    </row>
    <row r="124" spans="1:13" x14ac:dyDescent="0.25">
      <c r="B124" s="192">
        <v>42304</v>
      </c>
      <c r="C124" s="10">
        <v>5530</v>
      </c>
      <c r="D124" s="199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1">
        <f>IF(C124=0, D124, (E124-D124)/D124)</f>
        <v>-0.16082711085583001</v>
      </c>
      <c r="I124" s="199"/>
    </row>
    <row r="125" spans="1:13" x14ac:dyDescent="0.25">
      <c r="B125" s="192">
        <v>42306</v>
      </c>
      <c r="C125" s="10">
        <v>5530</v>
      </c>
      <c r="D125" s="199">
        <v>17.41</v>
      </c>
      <c r="E125" s="40">
        <v>14.94</v>
      </c>
      <c r="F125" s="40">
        <f t="shared" ref="F125:F166" si="13">C125*(E125-D125)</f>
        <v>-13659.100000000004</v>
      </c>
      <c r="G125" s="40">
        <f t="shared" ref="G125:G166" si="14">IF(C125=0, 0,D125*C125)</f>
        <v>96277.3</v>
      </c>
      <c r="H125" s="231">
        <f t="shared" ref="H125:H166" si="15">IF(C125=0, D125, (E125-D125)/D125)</f>
        <v>-0.14187248707639291</v>
      </c>
      <c r="I125" s="199"/>
    </row>
    <row r="126" spans="1:13" x14ac:dyDescent="0.25">
      <c r="B126" s="192">
        <v>42307</v>
      </c>
      <c r="C126" s="10">
        <v>5730</v>
      </c>
      <c r="D126" s="199">
        <v>17.329999999999998</v>
      </c>
      <c r="E126" s="40">
        <v>15.51</v>
      </c>
      <c r="F126" s="40">
        <f t="shared" si="13"/>
        <v>-10428.599999999991</v>
      </c>
      <c r="G126" s="40">
        <f t="shared" si="14"/>
        <v>99300.9</v>
      </c>
      <c r="H126" s="231">
        <f t="shared" si="15"/>
        <v>-0.10502019619157522</v>
      </c>
      <c r="I126" s="199"/>
    </row>
    <row r="127" spans="1:13" x14ac:dyDescent="0.25">
      <c r="B127" s="192">
        <v>42313</v>
      </c>
      <c r="C127" s="10">
        <v>6000</v>
      </c>
      <c r="D127" s="199">
        <v>17.22</v>
      </c>
      <c r="E127" s="40">
        <v>14.88</v>
      </c>
      <c r="F127" s="40">
        <f t="shared" si="13"/>
        <v>-14039.999999999989</v>
      </c>
      <c r="G127" s="40">
        <f t="shared" si="14"/>
        <v>103320</v>
      </c>
      <c r="H127" s="231">
        <f t="shared" si="15"/>
        <v>-0.13588850174216019</v>
      </c>
      <c r="I127" s="199"/>
    </row>
    <row r="128" spans="1:13" x14ac:dyDescent="0.25">
      <c r="B128" s="192">
        <v>42314</v>
      </c>
      <c r="C128" s="10">
        <v>7006</v>
      </c>
      <c r="D128" s="199">
        <v>16.829999999999998</v>
      </c>
      <c r="E128" s="40">
        <v>14.42</v>
      </c>
      <c r="F128" s="40">
        <f t="shared" si="13"/>
        <v>-16884.459999999988</v>
      </c>
      <c r="G128" s="40">
        <f t="shared" si="14"/>
        <v>117910.97999999998</v>
      </c>
      <c r="H128" s="231">
        <f t="shared" si="15"/>
        <v>-0.14319667260843724</v>
      </c>
      <c r="I128" s="199"/>
    </row>
    <row r="129" spans="2:9" x14ac:dyDescent="0.25">
      <c r="B129" s="192">
        <v>42324</v>
      </c>
      <c r="C129" s="10">
        <v>6000</v>
      </c>
      <c r="D129" s="199">
        <v>17.18</v>
      </c>
      <c r="E129" s="40">
        <v>14.92</v>
      </c>
      <c r="F129" s="40">
        <f t="shared" si="13"/>
        <v>-13559.999999999998</v>
      </c>
      <c r="G129" s="40">
        <f t="shared" si="14"/>
        <v>103080</v>
      </c>
      <c r="H129" s="231">
        <f t="shared" si="15"/>
        <v>-0.13154831199068684</v>
      </c>
      <c r="I129" s="199"/>
    </row>
    <row r="130" spans="2:9" x14ac:dyDescent="0.25">
      <c r="B130" s="192">
        <v>42325</v>
      </c>
      <c r="C130" s="10">
        <v>7000</v>
      </c>
      <c r="D130" s="199">
        <v>16.79</v>
      </c>
      <c r="E130" s="40">
        <v>14.38</v>
      </c>
      <c r="F130" s="40">
        <f t="shared" si="13"/>
        <v>-16869.999999999989</v>
      </c>
      <c r="G130" s="40">
        <f t="shared" si="14"/>
        <v>117530</v>
      </c>
      <c r="H130" s="231">
        <f t="shared" si="15"/>
        <v>-0.14353782013103028</v>
      </c>
      <c r="I130" s="199"/>
    </row>
    <row r="131" spans="2:9" x14ac:dyDescent="0.25">
      <c r="B131" s="192">
        <v>42326</v>
      </c>
      <c r="C131" s="10">
        <v>6000</v>
      </c>
      <c r="D131" s="199">
        <v>17.16</v>
      </c>
      <c r="E131" s="40">
        <v>14.65</v>
      </c>
      <c r="F131" s="40">
        <f t="shared" si="13"/>
        <v>-15059.999999999998</v>
      </c>
      <c r="G131" s="40">
        <f t="shared" si="14"/>
        <v>102960</v>
      </c>
      <c r="H131" s="231">
        <f t="shared" si="15"/>
        <v>-0.14627039627039626</v>
      </c>
      <c r="I131" s="199"/>
    </row>
    <row r="132" spans="2:9" x14ac:dyDescent="0.25">
      <c r="B132" s="192">
        <v>42335</v>
      </c>
      <c r="C132" s="10">
        <v>6100</v>
      </c>
      <c r="D132" s="199">
        <v>17.11</v>
      </c>
      <c r="E132" s="40">
        <v>14.47</v>
      </c>
      <c r="F132" s="40">
        <f t="shared" si="13"/>
        <v>-16103.999999999993</v>
      </c>
      <c r="G132" s="40">
        <f t="shared" si="14"/>
        <v>104371</v>
      </c>
      <c r="H132" s="231">
        <f t="shared" si="15"/>
        <v>-0.15429573348918754</v>
      </c>
      <c r="I132" s="199"/>
    </row>
    <row r="133" spans="2:9" x14ac:dyDescent="0.25">
      <c r="B133" s="192">
        <v>42335</v>
      </c>
      <c r="C133" s="10">
        <v>7000</v>
      </c>
      <c r="D133" s="199">
        <v>16.77</v>
      </c>
      <c r="E133" s="40">
        <v>14.47</v>
      </c>
      <c r="F133" s="40">
        <f t="shared" si="13"/>
        <v>-16099.999999999993</v>
      </c>
      <c r="G133" s="40">
        <f t="shared" si="14"/>
        <v>117390</v>
      </c>
      <c r="H133" s="231">
        <f t="shared" si="15"/>
        <v>-0.1371496720333929</v>
      </c>
      <c r="I133" s="199"/>
    </row>
    <row r="134" spans="2:9" x14ac:dyDescent="0.25">
      <c r="B134" s="192">
        <v>42338</v>
      </c>
      <c r="C134" s="10">
        <v>6000</v>
      </c>
      <c r="D134" s="199">
        <v>17.100000000000001</v>
      </c>
      <c r="E134" s="40">
        <v>14.78</v>
      </c>
      <c r="F134" s="40">
        <f t="shared" si="13"/>
        <v>-13920.000000000013</v>
      </c>
      <c r="G134" s="40">
        <f t="shared" si="14"/>
        <v>102600.00000000001</v>
      </c>
      <c r="H134" s="231">
        <f t="shared" si="15"/>
        <v>-0.13567251461988314</v>
      </c>
      <c r="I134" s="199"/>
    </row>
    <row r="135" spans="2:9" x14ac:dyDescent="0.25">
      <c r="B135" s="192">
        <v>42338</v>
      </c>
      <c r="C135" s="10">
        <v>5900</v>
      </c>
      <c r="D135" s="199">
        <v>17.14</v>
      </c>
      <c r="E135" s="40">
        <v>14.78</v>
      </c>
      <c r="F135" s="40">
        <f t="shared" si="13"/>
        <v>-13924.000000000007</v>
      </c>
      <c r="G135" s="40">
        <f t="shared" si="14"/>
        <v>101126</v>
      </c>
      <c r="H135" s="231">
        <f t="shared" si="15"/>
        <v>-0.13768961493582271</v>
      </c>
      <c r="I135" s="199"/>
    </row>
    <row r="136" spans="2:9" x14ac:dyDescent="0.25">
      <c r="B136" s="192">
        <v>42340</v>
      </c>
      <c r="C136" s="10">
        <v>7000</v>
      </c>
      <c r="D136" s="199">
        <v>16.670000000000002</v>
      </c>
      <c r="E136" s="40">
        <v>13.9</v>
      </c>
      <c r="F136" s="40">
        <f t="shared" si="13"/>
        <v>-19390.000000000011</v>
      </c>
      <c r="G136" s="40">
        <f t="shared" si="14"/>
        <v>116690.00000000001</v>
      </c>
      <c r="H136" s="231">
        <f t="shared" si="15"/>
        <v>-0.16616676664667074</v>
      </c>
      <c r="I136" s="199"/>
    </row>
    <row r="137" spans="2:9" x14ac:dyDescent="0.25">
      <c r="B137" s="192">
        <v>42340</v>
      </c>
      <c r="C137" s="10">
        <v>7500</v>
      </c>
      <c r="D137" s="199">
        <v>16.510000000000002</v>
      </c>
      <c r="E137" s="40">
        <v>13.9</v>
      </c>
      <c r="F137" s="40">
        <f t="shared" si="13"/>
        <v>-19575.000000000007</v>
      </c>
      <c r="G137" s="40">
        <f t="shared" si="14"/>
        <v>123825.00000000001</v>
      </c>
      <c r="H137" s="231">
        <f t="shared" si="15"/>
        <v>-0.15808600847970933</v>
      </c>
      <c r="I137" s="199"/>
    </row>
    <row r="138" spans="2:9" x14ac:dyDescent="0.25">
      <c r="B138" s="192">
        <v>42344</v>
      </c>
      <c r="C138" s="10">
        <v>7500</v>
      </c>
      <c r="D138" s="199">
        <v>16.510000000000002</v>
      </c>
      <c r="E138" s="40">
        <v>13.15</v>
      </c>
      <c r="F138" s="40">
        <f t="shared" si="13"/>
        <v>-25200.000000000007</v>
      </c>
      <c r="G138" s="40">
        <f t="shared" si="14"/>
        <v>123825.00000000001</v>
      </c>
      <c r="H138" s="231">
        <f t="shared" si="15"/>
        <v>-0.20351302241066027</v>
      </c>
      <c r="I138" s="199"/>
    </row>
    <row r="139" spans="2:9" x14ac:dyDescent="0.25">
      <c r="B139" s="192">
        <v>42349</v>
      </c>
      <c r="C139" s="10">
        <v>8000</v>
      </c>
      <c r="D139" s="199">
        <v>16.260000000000002</v>
      </c>
      <c r="E139" s="40">
        <v>12.47</v>
      </c>
      <c r="F139" s="40">
        <f t="shared" si="13"/>
        <v>-30320.000000000007</v>
      </c>
      <c r="G139" s="40">
        <f t="shared" si="14"/>
        <v>130080.00000000001</v>
      </c>
      <c r="H139" s="231">
        <f t="shared" si="15"/>
        <v>-0.23308733087330877</v>
      </c>
      <c r="I139" s="199"/>
    </row>
    <row r="140" spans="2:9" x14ac:dyDescent="0.25">
      <c r="B140" s="192">
        <v>42356</v>
      </c>
      <c r="C140" s="10">
        <v>7500</v>
      </c>
      <c r="D140" s="199">
        <v>16.510000000000002</v>
      </c>
      <c r="E140" s="40">
        <v>12.6</v>
      </c>
      <c r="F140" s="40">
        <f t="shared" si="13"/>
        <v>-29325.000000000015</v>
      </c>
      <c r="G140" s="40">
        <f t="shared" si="14"/>
        <v>123825.00000000001</v>
      </c>
      <c r="H140" s="231">
        <f t="shared" si="15"/>
        <v>-0.23682616596002432</v>
      </c>
      <c r="I140" s="199"/>
    </row>
    <row r="141" spans="2:9" x14ac:dyDescent="0.25">
      <c r="B141" s="192">
        <v>42356</v>
      </c>
      <c r="C141" s="281">
        <v>4500</v>
      </c>
      <c r="D141" s="282">
        <v>19.079999999999998</v>
      </c>
      <c r="E141" s="40">
        <v>12.88</v>
      </c>
      <c r="F141" s="40">
        <f t="shared" si="13"/>
        <v>-27899.999999999989</v>
      </c>
      <c r="G141" s="40">
        <f t="shared" si="14"/>
        <v>85859.999999999985</v>
      </c>
      <c r="H141" s="231">
        <f t="shared" si="15"/>
        <v>-0.32494758909853239</v>
      </c>
      <c r="I141" s="199"/>
    </row>
    <row r="142" spans="2:9" x14ac:dyDescent="0.25">
      <c r="B142" s="192">
        <v>42397</v>
      </c>
      <c r="C142" s="423">
        <v>2000</v>
      </c>
      <c r="D142" s="211">
        <v>26.06</v>
      </c>
      <c r="E142" s="40">
        <v>15.27</v>
      </c>
      <c r="F142" s="40">
        <f t="shared" si="13"/>
        <v>-21580</v>
      </c>
      <c r="G142" s="40">
        <f t="shared" si="14"/>
        <v>52120</v>
      </c>
      <c r="H142" s="231">
        <f t="shared" si="15"/>
        <v>-0.41404451266308517</v>
      </c>
      <c r="I142" s="199"/>
    </row>
    <row r="143" spans="2:9" x14ac:dyDescent="0.25">
      <c r="B143" s="192">
        <v>42398</v>
      </c>
      <c r="C143" s="281">
        <v>1800</v>
      </c>
      <c r="D143" s="282">
        <v>27.26</v>
      </c>
      <c r="E143" s="40">
        <v>15.27</v>
      </c>
      <c r="F143" s="40">
        <f t="shared" si="13"/>
        <v>-21582.000000000004</v>
      </c>
      <c r="G143" s="40">
        <f t="shared" si="14"/>
        <v>49068</v>
      </c>
      <c r="H143" s="231">
        <f t="shared" si="15"/>
        <v>-0.43983859134262659</v>
      </c>
      <c r="I143" s="199"/>
    </row>
    <row r="144" spans="2:9" x14ac:dyDescent="0.25">
      <c r="B144" s="192">
        <v>42402</v>
      </c>
      <c r="C144" s="281">
        <v>2000</v>
      </c>
      <c r="D144" s="282">
        <v>26</v>
      </c>
      <c r="E144" s="40">
        <v>15.18</v>
      </c>
      <c r="F144" s="40">
        <f t="shared" si="13"/>
        <v>-21640</v>
      </c>
      <c r="G144" s="40">
        <f t="shared" si="14"/>
        <v>52000</v>
      </c>
      <c r="H144" s="231">
        <f t="shared" si="15"/>
        <v>-0.41615384615384615</v>
      </c>
      <c r="I144" s="199"/>
    </row>
    <row r="145" spans="2:9" x14ac:dyDescent="0.25">
      <c r="B145" s="192">
        <v>42412</v>
      </c>
      <c r="C145" s="281">
        <v>2200</v>
      </c>
      <c r="D145" s="282">
        <v>24.75</v>
      </c>
      <c r="E145" s="40">
        <v>12.35</v>
      </c>
      <c r="F145" s="40">
        <f t="shared" si="13"/>
        <v>-27280</v>
      </c>
      <c r="G145" s="40">
        <f t="shared" si="14"/>
        <v>54450</v>
      </c>
      <c r="H145" s="231">
        <f t="shared" si="15"/>
        <v>-0.50101010101010102</v>
      </c>
      <c r="I145" s="199"/>
    </row>
    <row r="146" spans="2:9" x14ac:dyDescent="0.25">
      <c r="B146" s="192">
        <v>42416</v>
      </c>
      <c r="C146" s="281">
        <v>2000</v>
      </c>
      <c r="D146" s="282">
        <v>25.96</v>
      </c>
      <c r="E146" s="40">
        <v>12.35</v>
      </c>
      <c r="F146" s="40">
        <f t="shared" si="13"/>
        <v>-27220.000000000004</v>
      </c>
      <c r="G146" s="40">
        <f t="shared" si="14"/>
        <v>51920</v>
      </c>
      <c r="H146" s="231">
        <f t="shared" si="15"/>
        <v>-0.52426810477657937</v>
      </c>
      <c r="I146" s="199"/>
    </row>
    <row r="147" spans="2:9" x14ac:dyDescent="0.25">
      <c r="B147" s="192">
        <v>42416</v>
      </c>
      <c r="C147" s="281">
        <v>1750</v>
      </c>
      <c r="D147" s="282">
        <v>27.81</v>
      </c>
      <c r="E147" s="40">
        <v>12.89</v>
      </c>
      <c r="F147" s="40">
        <f t="shared" si="13"/>
        <v>-26109.999999999996</v>
      </c>
      <c r="G147" s="40">
        <f t="shared" si="14"/>
        <v>48667.5</v>
      </c>
      <c r="H147" s="231">
        <f t="shared" si="15"/>
        <v>-0.53649766271125487</v>
      </c>
      <c r="I147" s="199"/>
    </row>
    <row r="148" spans="2:9" x14ac:dyDescent="0.25">
      <c r="B148" s="192">
        <v>42416</v>
      </c>
      <c r="C148" s="281">
        <v>2000</v>
      </c>
      <c r="D148" s="282">
        <v>25.948</v>
      </c>
      <c r="E148" s="40">
        <v>12.94</v>
      </c>
      <c r="F148" s="40">
        <f t="shared" si="13"/>
        <v>-26016</v>
      </c>
      <c r="G148" s="40">
        <f t="shared" si="14"/>
        <v>51896</v>
      </c>
      <c r="H148" s="231">
        <f t="shared" si="15"/>
        <v>-0.50131031293355943</v>
      </c>
      <c r="I148" s="199"/>
    </row>
    <row r="149" spans="2:9" x14ac:dyDescent="0.25">
      <c r="B149" s="192">
        <v>42426</v>
      </c>
      <c r="C149" s="281">
        <v>2000</v>
      </c>
      <c r="D149" s="282">
        <v>25.914999999999999</v>
      </c>
      <c r="E149" s="40">
        <v>12.37</v>
      </c>
      <c r="F149" s="40">
        <f t="shared" si="13"/>
        <v>-27090</v>
      </c>
      <c r="G149" s="40">
        <f t="shared" si="14"/>
        <v>51830</v>
      </c>
      <c r="H149" s="231">
        <f t="shared" si="15"/>
        <v>-0.52267026818444917</v>
      </c>
      <c r="I149" s="199"/>
    </row>
    <row r="150" spans="2:9" x14ac:dyDescent="0.25">
      <c r="B150" s="192">
        <v>42430</v>
      </c>
      <c r="C150" s="281">
        <v>2000</v>
      </c>
      <c r="D150" s="282">
        <v>25.914999999999999</v>
      </c>
      <c r="E150" s="40">
        <v>12.82</v>
      </c>
      <c r="F150" s="40">
        <f t="shared" si="13"/>
        <v>-26189.999999999996</v>
      </c>
      <c r="G150" s="40">
        <f t="shared" si="14"/>
        <v>51830</v>
      </c>
      <c r="H150" s="231">
        <f t="shared" si="15"/>
        <v>-0.50530580744742426</v>
      </c>
      <c r="I150" s="199">
        <v>25.5</v>
      </c>
    </row>
    <row r="151" spans="2:9" x14ac:dyDescent="0.25">
      <c r="B151" s="192">
        <v>42431</v>
      </c>
      <c r="C151" s="437">
        <v>1500</v>
      </c>
      <c r="D151" s="589">
        <v>30.137</v>
      </c>
      <c r="E151" s="40">
        <v>13.3</v>
      </c>
      <c r="F151" s="40">
        <f t="shared" si="13"/>
        <v>-25255.5</v>
      </c>
      <c r="G151" s="40">
        <f t="shared" si="14"/>
        <v>45205.5</v>
      </c>
      <c r="H151" s="231">
        <f t="shared" si="15"/>
        <v>-0.55868201878090051</v>
      </c>
      <c r="I151" s="199"/>
    </row>
    <row r="152" spans="2:9" x14ac:dyDescent="0.25">
      <c r="B152" s="192">
        <v>42444</v>
      </c>
      <c r="C152" s="281">
        <v>1500</v>
      </c>
      <c r="D152" s="282">
        <v>30.137</v>
      </c>
      <c r="E152" s="40">
        <v>14.28</v>
      </c>
      <c r="F152" s="40">
        <f t="shared" si="13"/>
        <v>-23785.5</v>
      </c>
      <c r="G152" s="40">
        <f t="shared" si="14"/>
        <v>45205.5</v>
      </c>
      <c r="H152" s="231">
        <f t="shared" si="15"/>
        <v>-0.52616385174370384</v>
      </c>
      <c r="I152" s="199"/>
    </row>
    <row r="153" spans="2:9" x14ac:dyDescent="0.25">
      <c r="B153" s="192">
        <v>42447</v>
      </c>
      <c r="C153" s="281">
        <v>1500</v>
      </c>
      <c r="D153" s="282">
        <v>30.137</v>
      </c>
      <c r="E153" s="40">
        <v>14.98</v>
      </c>
      <c r="F153" s="40">
        <f t="shared" si="13"/>
        <v>-22735.5</v>
      </c>
      <c r="G153" s="40">
        <f t="shared" si="14"/>
        <v>45205.5</v>
      </c>
      <c r="H153" s="231">
        <f t="shared" si="15"/>
        <v>-0.50293658957427745</v>
      </c>
      <c r="I153" s="199"/>
    </row>
    <row r="154" spans="2:9" x14ac:dyDescent="0.25">
      <c r="B154" s="192">
        <v>42480</v>
      </c>
      <c r="C154" s="281">
        <v>1500</v>
      </c>
      <c r="D154" s="282">
        <v>30.07</v>
      </c>
      <c r="E154" s="40">
        <v>15.44</v>
      </c>
      <c r="F154" s="40">
        <f t="shared" si="13"/>
        <v>-21945</v>
      </c>
      <c r="G154" s="40">
        <f t="shared" si="14"/>
        <v>45105</v>
      </c>
      <c r="H154" s="231">
        <f t="shared" si="15"/>
        <v>-0.48653142667110078</v>
      </c>
      <c r="I154" s="199"/>
    </row>
    <row r="155" spans="2:9" x14ac:dyDescent="0.25">
      <c r="B155" s="192">
        <v>42488</v>
      </c>
      <c r="C155" s="281">
        <v>1500</v>
      </c>
      <c r="D155" s="282">
        <v>30.030999999999999</v>
      </c>
      <c r="E155" s="40">
        <v>15.55</v>
      </c>
      <c r="F155" s="40">
        <f t="shared" si="13"/>
        <v>-21721.499999999996</v>
      </c>
      <c r="G155" s="40">
        <f t="shared" si="14"/>
        <v>45046.5</v>
      </c>
      <c r="H155" s="231">
        <f t="shared" si="15"/>
        <v>-0.4822017248842862</v>
      </c>
      <c r="I155" s="199"/>
    </row>
    <row r="156" spans="2:9" x14ac:dyDescent="0.25">
      <c r="B156" s="192">
        <v>42494</v>
      </c>
      <c r="C156" s="281">
        <v>1500</v>
      </c>
      <c r="D156" s="282">
        <v>30.030999999999999</v>
      </c>
      <c r="E156" s="40">
        <v>15.02</v>
      </c>
      <c r="F156" s="40">
        <f t="shared" si="13"/>
        <v>-22516.5</v>
      </c>
      <c r="G156" s="40">
        <f t="shared" si="14"/>
        <v>45046.5</v>
      </c>
      <c r="H156" s="231">
        <f t="shared" si="15"/>
        <v>-0.49985015483999867</v>
      </c>
      <c r="I156" s="199"/>
    </row>
    <row r="157" spans="2:9" x14ac:dyDescent="0.25">
      <c r="B157" s="192">
        <v>42517</v>
      </c>
      <c r="C157" s="281">
        <v>1500</v>
      </c>
      <c r="D157" s="282">
        <v>30.024000000000001</v>
      </c>
      <c r="E157" s="40">
        <v>14.74</v>
      </c>
      <c r="F157" s="40">
        <f t="shared" si="13"/>
        <v>-22926</v>
      </c>
      <c r="G157" s="40">
        <f t="shared" si="14"/>
        <v>45036</v>
      </c>
      <c r="H157" s="231">
        <f t="shared" si="15"/>
        <v>-0.50905941913136155</v>
      </c>
      <c r="I157" s="199"/>
    </row>
    <row r="158" spans="2:9" x14ac:dyDescent="0.25">
      <c r="B158" s="192">
        <v>42522</v>
      </c>
      <c r="C158" s="281">
        <v>1500</v>
      </c>
      <c r="D158" s="282">
        <v>30.024000000000001</v>
      </c>
      <c r="E158" s="40">
        <v>15.08</v>
      </c>
      <c r="F158" s="40">
        <f t="shared" si="13"/>
        <v>-22416</v>
      </c>
      <c r="G158" s="40">
        <f t="shared" si="14"/>
        <v>45036</v>
      </c>
      <c r="H158" s="231">
        <f t="shared" si="15"/>
        <v>-0.49773514521715961</v>
      </c>
      <c r="I158" s="199"/>
    </row>
    <row r="159" spans="2:9" x14ac:dyDescent="0.25">
      <c r="B159" s="192">
        <v>42530</v>
      </c>
      <c r="C159" s="281">
        <v>1520</v>
      </c>
      <c r="D159" s="282">
        <v>29.5</v>
      </c>
      <c r="E159" s="40">
        <v>15.6</v>
      </c>
      <c r="F159" s="40">
        <f t="shared" si="13"/>
        <v>-21128</v>
      </c>
      <c r="G159" s="40">
        <f t="shared" si="14"/>
        <v>44840</v>
      </c>
      <c r="H159" s="231">
        <f t="shared" si="15"/>
        <v>-0.47118644067796611</v>
      </c>
      <c r="I159" s="199"/>
    </row>
    <row r="160" spans="2:9" x14ac:dyDescent="0.25">
      <c r="B160" s="192">
        <v>42534</v>
      </c>
      <c r="C160" s="281">
        <v>1520</v>
      </c>
      <c r="D160" s="282">
        <v>29.5</v>
      </c>
      <c r="E160" s="40">
        <v>14.25</v>
      </c>
      <c r="F160" s="40">
        <f t="shared" si="13"/>
        <v>-23180</v>
      </c>
      <c r="G160" s="40">
        <f t="shared" si="14"/>
        <v>44840</v>
      </c>
      <c r="H160" s="231">
        <f t="shared" si="15"/>
        <v>-0.51694915254237284</v>
      </c>
      <c r="I160" s="199"/>
    </row>
    <row r="161" spans="2:9" x14ac:dyDescent="0.25">
      <c r="B161" s="192">
        <v>42535</v>
      </c>
      <c r="C161" s="281">
        <v>2000</v>
      </c>
      <c r="D161" s="282">
        <v>25.768000000000001</v>
      </c>
      <c r="E161" s="40">
        <v>13.88</v>
      </c>
      <c r="F161" s="40">
        <f t="shared" si="13"/>
        <v>-23776</v>
      </c>
      <c r="G161" s="40">
        <f t="shared" si="14"/>
        <v>51536</v>
      </c>
      <c r="H161" s="231">
        <f t="shared" si="15"/>
        <v>-0.46134740763737969</v>
      </c>
      <c r="I161" s="199"/>
    </row>
    <row r="162" spans="2:9" x14ac:dyDescent="0.25">
      <c r="B162" s="192">
        <v>42538</v>
      </c>
      <c r="C162" s="281">
        <v>1520</v>
      </c>
      <c r="D162" s="282">
        <v>29.428000000000001</v>
      </c>
      <c r="E162" s="40">
        <v>14.24</v>
      </c>
      <c r="F162" s="40">
        <f t="shared" si="13"/>
        <v>-23085.760000000002</v>
      </c>
      <c r="G162" s="40">
        <f t="shared" si="14"/>
        <v>44730.559999999998</v>
      </c>
      <c r="H162" s="231">
        <f t="shared" si="15"/>
        <v>-0.5161071088759005</v>
      </c>
      <c r="I162" s="199"/>
    </row>
    <row r="163" spans="2:9" x14ac:dyDescent="0.25">
      <c r="B163" s="192">
        <v>42543</v>
      </c>
      <c r="C163" s="281">
        <v>2000</v>
      </c>
      <c r="D163" s="282">
        <v>25.696000000000002</v>
      </c>
      <c r="E163" s="40">
        <v>13.79</v>
      </c>
      <c r="F163" s="40">
        <f t="shared" si="13"/>
        <v>-23812.000000000004</v>
      </c>
      <c r="G163" s="40">
        <f t="shared" si="14"/>
        <v>51392</v>
      </c>
      <c r="H163" s="231">
        <f t="shared" si="15"/>
        <v>-0.46334059775840603</v>
      </c>
      <c r="I163" s="199"/>
    </row>
    <row r="164" spans="2:9" x14ac:dyDescent="0.25">
      <c r="B164" s="192">
        <v>42544</v>
      </c>
      <c r="C164" s="281">
        <v>1520</v>
      </c>
      <c r="D164" s="282">
        <v>29.338999999999999</v>
      </c>
      <c r="E164" s="40">
        <v>14.18</v>
      </c>
      <c r="F164" s="40">
        <f t="shared" si="13"/>
        <v>-23041.679999999997</v>
      </c>
      <c r="G164" s="40">
        <f t="shared" si="14"/>
        <v>44595.28</v>
      </c>
      <c r="H164" s="231">
        <f t="shared" si="15"/>
        <v>-0.51668427690105323</v>
      </c>
      <c r="I164" s="199"/>
    </row>
    <row r="165" spans="2:9" x14ac:dyDescent="0.25">
      <c r="B165" s="192">
        <v>42545</v>
      </c>
      <c r="C165" s="423">
        <v>2000</v>
      </c>
      <c r="D165" s="211">
        <v>25.574000000000002</v>
      </c>
      <c r="E165" s="40">
        <v>13.65</v>
      </c>
      <c r="F165" s="40">
        <f t="shared" si="13"/>
        <v>-23848.000000000004</v>
      </c>
      <c r="G165" s="40">
        <f t="shared" si="14"/>
        <v>51148</v>
      </c>
      <c r="H165" s="231">
        <f t="shared" si="15"/>
        <v>-0.4662547900211152</v>
      </c>
      <c r="I165" s="199"/>
    </row>
    <row r="166" spans="2:9" x14ac:dyDescent="0.25">
      <c r="B166" s="192">
        <v>42548</v>
      </c>
      <c r="C166" s="281">
        <v>2000</v>
      </c>
      <c r="D166" s="282">
        <v>25.574000000000002</v>
      </c>
      <c r="E166" s="40">
        <v>13.41</v>
      </c>
      <c r="F166" s="40">
        <f t="shared" si="13"/>
        <v>-24328.000000000004</v>
      </c>
      <c r="G166" s="40">
        <f t="shared" si="14"/>
        <v>51148</v>
      </c>
      <c r="H166" s="231">
        <f t="shared" si="15"/>
        <v>-0.47563932118557911</v>
      </c>
      <c r="I166" s="199"/>
    </row>
    <row r="167" spans="2:9" x14ac:dyDescent="0.25">
      <c r="B167" s="192">
        <v>42549</v>
      </c>
      <c r="C167" s="281">
        <v>2000</v>
      </c>
      <c r="D167" s="282">
        <v>25.574000000000002</v>
      </c>
      <c r="E167" s="40">
        <v>14.22</v>
      </c>
      <c r="F167" s="40">
        <f t="shared" ref="F167:F204" si="16">C167*(E167-D167)</f>
        <v>-22708.000000000004</v>
      </c>
      <c r="G167" s="40">
        <f t="shared" ref="G167:G204" si="17">IF(C167=0, 0,D167*C167)</f>
        <v>51148</v>
      </c>
      <c r="H167" s="231">
        <f t="shared" ref="H167:H204" si="18">IF(C167=0, D167, (E167-D167)/D167)</f>
        <v>-0.44396652850551344</v>
      </c>
      <c r="I167" s="199"/>
    </row>
    <row r="168" spans="2:9" x14ac:dyDescent="0.25">
      <c r="B168" s="192">
        <v>42550</v>
      </c>
      <c r="C168" s="281">
        <v>1520</v>
      </c>
      <c r="D168" s="282">
        <v>28.986999999999998</v>
      </c>
      <c r="E168" s="40">
        <v>14.58</v>
      </c>
      <c r="F168" s="40">
        <f t="shared" si="16"/>
        <v>-21898.639999999996</v>
      </c>
      <c r="G168" s="40">
        <f t="shared" si="17"/>
        <v>44060.24</v>
      </c>
      <c r="H168" s="231">
        <f t="shared" si="18"/>
        <v>-0.49701590368096038</v>
      </c>
      <c r="I168" s="199"/>
    </row>
    <row r="169" spans="2:9" x14ac:dyDescent="0.25">
      <c r="B169" s="192">
        <v>42556</v>
      </c>
      <c r="C169" s="281">
        <v>2000</v>
      </c>
      <c r="D169" s="282">
        <v>25.433</v>
      </c>
      <c r="E169" s="40">
        <v>14.31</v>
      </c>
      <c r="F169" s="40">
        <f t="shared" si="16"/>
        <v>-22246</v>
      </c>
      <c r="G169" s="40">
        <f t="shared" si="17"/>
        <v>50866</v>
      </c>
      <c r="H169" s="231">
        <f t="shared" si="18"/>
        <v>-0.43734518145716195</v>
      </c>
      <c r="I169" s="199">
        <v>25</v>
      </c>
    </row>
    <row r="170" spans="2:9" x14ac:dyDescent="0.25">
      <c r="B170" s="192">
        <v>42563</v>
      </c>
      <c r="C170" s="281">
        <v>2000</v>
      </c>
      <c r="D170" s="282">
        <v>25.433</v>
      </c>
      <c r="E170" s="40">
        <v>14.98</v>
      </c>
      <c r="F170" s="40">
        <f t="shared" si="16"/>
        <v>-20906</v>
      </c>
      <c r="G170" s="40">
        <f t="shared" si="17"/>
        <v>50866</v>
      </c>
      <c r="H170" s="231">
        <f t="shared" si="18"/>
        <v>-0.41100145480281525</v>
      </c>
      <c r="I170" s="199"/>
    </row>
    <row r="171" spans="2:9" x14ac:dyDescent="0.25">
      <c r="B171" s="192">
        <v>42578</v>
      </c>
      <c r="C171" s="281">
        <v>2200</v>
      </c>
      <c r="D171" s="282">
        <v>24.399000000000001</v>
      </c>
      <c r="E171" s="40">
        <v>14.06</v>
      </c>
      <c r="F171" s="40">
        <f t="shared" si="16"/>
        <v>-22745.8</v>
      </c>
      <c r="G171" s="40">
        <f t="shared" si="17"/>
        <v>53677.8</v>
      </c>
      <c r="H171" s="231">
        <f t="shared" si="18"/>
        <v>-0.42374687487192098</v>
      </c>
      <c r="I171" s="199"/>
    </row>
    <row r="172" spans="2:9" x14ac:dyDescent="0.25">
      <c r="B172" s="192">
        <v>42580</v>
      </c>
      <c r="C172" s="281">
        <v>2700</v>
      </c>
      <c r="D172" s="282">
        <v>22.39</v>
      </c>
      <c r="E172" s="40">
        <v>13.74</v>
      </c>
      <c r="F172" s="40">
        <f t="shared" si="16"/>
        <v>-23355</v>
      </c>
      <c r="G172" s="40">
        <f t="shared" si="17"/>
        <v>60453</v>
      </c>
      <c r="H172" s="231">
        <f t="shared" si="18"/>
        <v>-0.38633318445734705</v>
      </c>
      <c r="I172" s="199"/>
    </row>
    <row r="173" spans="2:9" x14ac:dyDescent="0.25">
      <c r="B173" s="192">
        <v>42580</v>
      </c>
      <c r="C173" s="281">
        <v>3000</v>
      </c>
      <c r="D173" s="282">
        <v>21.478999999999999</v>
      </c>
      <c r="E173" s="40">
        <v>13.74</v>
      </c>
      <c r="F173" s="40">
        <f t="shared" si="16"/>
        <v>-23216.999999999996</v>
      </c>
      <c r="G173" s="40">
        <f t="shared" si="17"/>
        <v>64437</v>
      </c>
      <c r="H173" s="231">
        <f t="shared" si="18"/>
        <v>-0.3603054145909958</v>
      </c>
      <c r="I173" s="199"/>
    </row>
    <row r="174" spans="2:9" x14ac:dyDescent="0.25">
      <c r="B174" s="192">
        <v>42580</v>
      </c>
      <c r="C174" s="281">
        <v>2000</v>
      </c>
      <c r="D174" s="282">
        <v>25.353000000000002</v>
      </c>
      <c r="E174" s="40">
        <v>13.74</v>
      </c>
      <c r="F174" s="40">
        <f t="shared" si="16"/>
        <v>-23226.000000000004</v>
      </c>
      <c r="G174" s="40">
        <f t="shared" si="17"/>
        <v>50706</v>
      </c>
      <c r="H174" s="231">
        <f t="shared" si="18"/>
        <v>-0.45805230150278076</v>
      </c>
      <c r="I174" s="199">
        <v>25</v>
      </c>
    </row>
    <row r="175" spans="2:9" x14ac:dyDescent="0.25">
      <c r="B175" s="192">
        <v>42585</v>
      </c>
      <c r="C175" s="423">
        <v>2000</v>
      </c>
      <c r="D175" s="211">
        <v>25.353000000000002</v>
      </c>
      <c r="E175" s="40">
        <v>13.45</v>
      </c>
      <c r="F175" s="40">
        <f t="shared" si="16"/>
        <v>-23806.000000000004</v>
      </c>
      <c r="G175" s="40">
        <f t="shared" si="17"/>
        <v>50706</v>
      </c>
      <c r="H175" s="231">
        <f t="shared" si="18"/>
        <v>-0.46949079004457073</v>
      </c>
      <c r="I175" s="199"/>
    </row>
    <row r="176" spans="2:9" x14ac:dyDescent="0.25">
      <c r="B176" s="192">
        <v>42586</v>
      </c>
      <c r="C176" s="281">
        <v>2500</v>
      </c>
      <c r="D176" s="282">
        <v>22.902000000000001</v>
      </c>
      <c r="E176" s="40">
        <v>12.97</v>
      </c>
      <c r="F176" s="40">
        <f t="shared" si="16"/>
        <v>-24830</v>
      </c>
      <c r="G176" s="40">
        <f t="shared" si="17"/>
        <v>57255</v>
      </c>
      <c r="H176" s="231">
        <f t="shared" si="18"/>
        <v>-0.43367391494192647</v>
      </c>
      <c r="I176" s="199"/>
    </row>
    <row r="177" spans="2:9" x14ac:dyDescent="0.25">
      <c r="B177" s="192">
        <v>42590</v>
      </c>
      <c r="C177" s="438">
        <v>3000</v>
      </c>
      <c r="D177" s="497">
        <v>21.26</v>
      </c>
      <c r="E177" s="40">
        <v>13.01</v>
      </c>
      <c r="F177" s="40">
        <f t="shared" si="16"/>
        <v>-24750.000000000004</v>
      </c>
      <c r="G177" s="40">
        <f t="shared" si="17"/>
        <v>63780.000000000007</v>
      </c>
      <c r="H177" s="231">
        <f t="shared" si="18"/>
        <v>-0.38805268109125124</v>
      </c>
      <c r="I177" s="199"/>
    </row>
    <row r="178" spans="2:9" x14ac:dyDescent="0.25">
      <c r="B178" s="192">
        <v>42591</v>
      </c>
      <c r="C178" s="281">
        <v>3500</v>
      </c>
      <c r="D178" s="282">
        <v>20.033999999999999</v>
      </c>
      <c r="E178" s="40">
        <v>12.67</v>
      </c>
      <c r="F178" s="40">
        <f t="shared" si="16"/>
        <v>-25773.999999999996</v>
      </c>
      <c r="G178" s="40">
        <f t="shared" si="17"/>
        <v>70119</v>
      </c>
      <c r="H178" s="231">
        <f t="shared" si="18"/>
        <v>-0.36757512229210337</v>
      </c>
      <c r="I178" s="199">
        <v>19.75</v>
      </c>
    </row>
    <row r="179" spans="2:9" x14ac:dyDescent="0.25">
      <c r="B179" s="192">
        <v>42593</v>
      </c>
      <c r="C179" s="10">
        <v>3500</v>
      </c>
      <c r="D179" s="199">
        <v>20.033770000000001</v>
      </c>
      <c r="E179" s="40">
        <v>12.51</v>
      </c>
      <c r="F179" s="40">
        <f t="shared" si="16"/>
        <v>-26333.195000000003</v>
      </c>
      <c r="G179" s="40">
        <f t="shared" si="17"/>
        <v>70118.195000000007</v>
      </c>
      <c r="H179" s="231">
        <f t="shared" si="18"/>
        <v>-0.37555437643538886</v>
      </c>
      <c r="I179" s="199"/>
    </row>
    <row r="180" spans="2:9" x14ac:dyDescent="0.25">
      <c r="B180" s="192">
        <v>42599</v>
      </c>
      <c r="C180" s="10">
        <v>3500</v>
      </c>
      <c r="D180" s="199">
        <v>20.033770000000001</v>
      </c>
      <c r="E180" s="40">
        <v>12.61</v>
      </c>
      <c r="F180" s="40">
        <f t="shared" si="16"/>
        <v>-25983.195000000003</v>
      </c>
      <c r="G180" s="40">
        <f t="shared" si="17"/>
        <v>70118.195000000007</v>
      </c>
      <c r="H180" s="231">
        <f t="shared" si="18"/>
        <v>-0.3705628047042569</v>
      </c>
      <c r="I180" s="199"/>
    </row>
    <row r="181" spans="2:9" x14ac:dyDescent="0.25">
      <c r="B181" s="192">
        <v>42600</v>
      </c>
      <c r="C181" s="10">
        <v>3500</v>
      </c>
      <c r="D181" s="199">
        <v>20.033770000000001</v>
      </c>
      <c r="E181" s="40">
        <v>12.57</v>
      </c>
      <c r="F181" s="40">
        <f t="shared" si="16"/>
        <v>-26123.195</v>
      </c>
      <c r="G181" s="40">
        <f t="shared" si="17"/>
        <v>70118.195000000007</v>
      </c>
      <c r="H181" s="231">
        <f t="shared" si="18"/>
        <v>-0.37255943339670966</v>
      </c>
      <c r="I181" s="199"/>
    </row>
    <row r="182" spans="2:9" x14ac:dyDescent="0.25">
      <c r="B182" s="192">
        <v>42601</v>
      </c>
      <c r="C182" s="10">
        <v>4000</v>
      </c>
      <c r="D182" s="199">
        <v>19.064550000000001</v>
      </c>
      <c r="E182" s="40">
        <v>12.26</v>
      </c>
      <c r="F182" s="40">
        <f t="shared" si="16"/>
        <v>-27218.200000000004</v>
      </c>
      <c r="G182" s="40">
        <f t="shared" si="17"/>
        <v>76258.2</v>
      </c>
      <c r="H182" s="231">
        <f t="shared" si="18"/>
        <v>-0.35692161629831287</v>
      </c>
      <c r="I182" s="199"/>
    </row>
    <row r="183" spans="2:9" x14ac:dyDescent="0.25">
      <c r="B183" s="192">
        <v>42604</v>
      </c>
      <c r="C183" s="281">
        <v>4500</v>
      </c>
      <c r="D183" s="282">
        <v>18.288489999999999</v>
      </c>
      <c r="E183" s="40">
        <v>12.24</v>
      </c>
      <c r="F183" s="40">
        <f t="shared" si="16"/>
        <v>-27218.204999999998</v>
      </c>
      <c r="G183" s="40">
        <f t="shared" si="17"/>
        <v>82298.205000000002</v>
      </c>
      <c r="H183" s="231">
        <f t="shared" si="18"/>
        <v>-0.33072659361161033</v>
      </c>
      <c r="I183" s="199">
        <v>18</v>
      </c>
    </row>
    <row r="184" spans="2:9" x14ac:dyDescent="0.25">
      <c r="B184" s="192">
        <v>42605</v>
      </c>
      <c r="C184" s="281">
        <v>4000</v>
      </c>
      <c r="D184" s="282">
        <v>18.984590000000001</v>
      </c>
      <c r="E184" s="40">
        <v>12.57</v>
      </c>
      <c r="F184" s="40">
        <f t="shared" si="16"/>
        <v>-25658.36</v>
      </c>
      <c r="G184" s="40">
        <f t="shared" si="17"/>
        <v>75938.36</v>
      </c>
      <c r="H184" s="231">
        <f t="shared" si="18"/>
        <v>-0.33788404174122277</v>
      </c>
      <c r="I184" s="199"/>
    </row>
    <row r="185" spans="2:9" x14ac:dyDescent="0.25">
      <c r="B185" s="192">
        <v>42605</v>
      </c>
      <c r="C185" s="281">
        <v>4500</v>
      </c>
      <c r="D185" s="282">
        <v>18.269629999999999</v>
      </c>
      <c r="E185" s="40">
        <v>12.57</v>
      </c>
      <c r="F185" s="40">
        <f t="shared" si="16"/>
        <v>-25648.334999999995</v>
      </c>
      <c r="G185" s="40">
        <f t="shared" si="17"/>
        <v>82213.334999999992</v>
      </c>
      <c r="H185" s="231">
        <f t="shared" si="18"/>
        <v>-0.31197292993892045</v>
      </c>
      <c r="I185" s="199">
        <v>18</v>
      </c>
    </row>
    <row r="186" spans="2:9" x14ac:dyDescent="0.25">
      <c r="B186" s="192">
        <v>42606</v>
      </c>
      <c r="C186" s="281">
        <v>4500</v>
      </c>
      <c r="D186" s="282">
        <v>18.269629999999999</v>
      </c>
      <c r="E186" s="40">
        <v>12.46</v>
      </c>
      <c r="F186" s="40">
        <f t="shared" si="16"/>
        <v>-26143.334999999992</v>
      </c>
      <c r="G186" s="40">
        <f t="shared" si="17"/>
        <v>82213.334999999992</v>
      </c>
      <c r="H186" s="231">
        <f t="shared" si="18"/>
        <v>-0.31799385099752969</v>
      </c>
      <c r="I186" s="199"/>
    </row>
    <row r="187" spans="2:9" x14ac:dyDescent="0.25">
      <c r="B187" s="192">
        <v>42611</v>
      </c>
      <c r="C187" s="281">
        <v>4500</v>
      </c>
      <c r="D187" s="282">
        <v>18.269629999999999</v>
      </c>
      <c r="E187" s="40">
        <v>12.59</v>
      </c>
      <c r="F187" s="40">
        <f t="shared" si="16"/>
        <v>-25558.334999999999</v>
      </c>
      <c r="G187" s="40">
        <f t="shared" si="17"/>
        <v>82213.334999999992</v>
      </c>
      <c r="H187" s="231">
        <f t="shared" si="18"/>
        <v>-0.31087821701917334</v>
      </c>
      <c r="I187" s="199"/>
    </row>
    <row r="188" spans="2:9" x14ac:dyDescent="0.25">
      <c r="B188" s="192">
        <v>42612</v>
      </c>
      <c r="C188" s="281">
        <v>4700</v>
      </c>
      <c r="D188" s="282">
        <v>17.991379999999999</v>
      </c>
      <c r="E188" s="40">
        <v>12.41</v>
      </c>
      <c r="F188" s="40">
        <f t="shared" si="16"/>
        <v>-26232.485999999997</v>
      </c>
      <c r="G188" s="40">
        <f t="shared" si="17"/>
        <v>84559.486000000004</v>
      </c>
      <c r="H188" s="231">
        <f t="shared" si="18"/>
        <v>-0.3102252300824061</v>
      </c>
      <c r="I188" s="199"/>
    </row>
    <row r="189" spans="2:9" x14ac:dyDescent="0.25">
      <c r="B189" s="192">
        <v>42614</v>
      </c>
      <c r="C189" s="281">
        <v>4700</v>
      </c>
      <c r="D189" s="282">
        <v>17.991379999999999</v>
      </c>
      <c r="E189" s="40">
        <v>12.13</v>
      </c>
      <c r="F189" s="40">
        <f t="shared" si="16"/>
        <v>-27548.485999999994</v>
      </c>
      <c r="G189" s="40">
        <f t="shared" si="17"/>
        <v>84559.486000000004</v>
      </c>
      <c r="H189" s="231">
        <f t="shared" si="18"/>
        <v>-0.32578823858981348</v>
      </c>
      <c r="I189" s="199"/>
    </row>
    <row r="190" spans="2:9" x14ac:dyDescent="0.25">
      <c r="B190" s="192">
        <v>42615</v>
      </c>
      <c r="C190" s="281">
        <v>4500</v>
      </c>
      <c r="D190" s="282">
        <v>18.232780000000002</v>
      </c>
      <c r="E190" s="40">
        <v>12.48</v>
      </c>
      <c r="F190" s="40">
        <f t="shared" si="16"/>
        <v>-25887.510000000006</v>
      </c>
      <c r="G190" s="40">
        <f t="shared" si="17"/>
        <v>82047.510000000009</v>
      </c>
      <c r="H190" s="231">
        <f t="shared" si="18"/>
        <v>-0.31551853310356404</v>
      </c>
      <c r="I190" s="199">
        <v>18</v>
      </c>
    </row>
    <row r="191" spans="2:9" x14ac:dyDescent="0.25">
      <c r="B191" s="192">
        <v>42619</v>
      </c>
      <c r="C191" s="281">
        <v>4500</v>
      </c>
      <c r="D191" s="282">
        <v>18.232780000000002</v>
      </c>
      <c r="E191" s="40">
        <v>12.72</v>
      </c>
      <c r="F191" s="40">
        <f t="shared" si="16"/>
        <v>-24807.510000000006</v>
      </c>
      <c r="G191" s="40">
        <f t="shared" si="17"/>
        <v>82047.510000000009</v>
      </c>
      <c r="H191" s="231">
        <f t="shared" si="18"/>
        <v>-0.30235542797094028</v>
      </c>
      <c r="I191" s="199"/>
    </row>
    <row r="192" spans="2:9" x14ac:dyDescent="0.25">
      <c r="B192" s="192">
        <v>42620</v>
      </c>
      <c r="C192" s="281">
        <v>4000</v>
      </c>
      <c r="D192" s="282">
        <v>18.896979999999999</v>
      </c>
      <c r="E192" s="40">
        <v>13.42</v>
      </c>
      <c r="F192" s="40">
        <f t="shared" si="16"/>
        <v>-21907.919999999998</v>
      </c>
      <c r="G192" s="40">
        <f t="shared" si="17"/>
        <v>75587.92</v>
      </c>
      <c r="H192" s="231">
        <f t="shared" si="18"/>
        <v>-0.28983361362503424</v>
      </c>
      <c r="I192" s="199"/>
    </row>
    <row r="193" spans="2:9" x14ac:dyDescent="0.25">
      <c r="B193" s="192">
        <v>42620</v>
      </c>
      <c r="C193" s="281">
        <v>3500</v>
      </c>
      <c r="D193" s="282">
        <v>19.717970000000001</v>
      </c>
      <c r="E193" s="40">
        <v>13.42</v>
      </c>
      <c r="F193" s="40">
        <f t="shared" si="16"/>
        <v>-22042.895000000004</v>
      </c>
      <c r="G193" s="40">
        <f t="shared" si="17"/>
        <v>69012.895000000004</v>
      </c>
      <c r="H193" s="231">
        <f t="shared" si="18"/>
        <v>-0.31940255513118243</v>
      </c>
      <c r="I193" s="199" t="s">
        <v>289</v>
      </c>
    </row>
    <row r="194" spans="2:9" x14ac:dyDescent="0.25">
      <c r="B194" s="192">
        <v>42620</v>
      </c>
      <c r="C194" s="281">
        <v>3200</v>
      </c>
      <c r="D194" s="282">
        <v>20.317779999999999</v>
      </c>
      <c r="E194" s="40">
        <v>13.42</v>
      </c>
      <c r="F194" s="40">
        <f t="shared" si="16"/>
        <v>-22072.895999999997</v>
      </c>
      <c r="G194" s="40">
        <f t="shared" si="17"/>
        <v>65016.895999999993</v>
      </c>
      <c r="H194" s="231">
        <f t="shared" si="18"/>
        <v>-0.33949476763701542</v>
      </c>
      <c r="I194" s="199"/>
    </row>
    <row r="195" spans="2:9" x14ac:dyDescent="0.25">
      <c r="B195" s="192">
        <v>42621</v>
      </c>
      <c r="C195" s="438">
        <v>3000</v>
      </c>
      <c r="D195" s="497">
        <v>20.755649999999999</v>
      </c>
      <c r="E195" s="40">
        <v>13.86</v>
      </c>
      <c r="F195" s="40">
        <f t="shared" si="16"/>
        <v>-20686.95</v>
      </c>
      <c r="G195" s="40">
        <f t="shared" si="17"/>
        <v>62266.95</v>
      </c>
      <c r="H195" s="231">
        <f t="shared" si="18"/>
        <v>-0.33223001929595075</v>
      </c>
      <c r="I195" s="199"/>
    </row>
    <row r="196" spans="2:9" x14ac:dyDescent="0.25">
      <c r="B196" s="192">
        <v>42622</v>
      </c>
      <c r="C196" s="281">
        <v>3200</v>
      </c>
      <c r="D196" s="282">
        <v>20.29468</v>
      </c>
      <c r="E196" s="40">
        <v>13.4</v>
      </c>
      <c r="F196" s="40">
        <f t="shared" si="16"/>
        <v>-22062.975999999999</v>
      </c>
      <c r="G196" s="40">
        <f t="shared" si="17"/>
        <v>64942.975999999995</v>
      </c>
      <c r="H196" s="231">
        <f t="shared" si="18"/>
        <v>-0.33972844114812351</v>
      </c>
      <c r="I196" s="199"/>
    </row>
    <row r="197" spans="2:9" x14ac:dyDescent="0.25">
      <c r="B197" s="192">
        <v>42625</v>
      </c>
      <c r="C197" s="281">
        <v>3200</v>
      </c>
      <c r="D197" s="282">
        <v>20.29468</v>
      </c>
      <c r="E197" s="40">
        <v>13.62</v>
      </c>
      <c r="F197" s="40">
        <f t="shared" si="16"/>
        <v>-21358.976000000002</v>
      </c>
      <c r="G197" s="40">
        <f t="shared" si="17"/>
        <v>64942.975999999995</v>
      </c>
      <c r="H197" s="231">
        <f t="shared" si="18"/>
        <v>-0.3288881618236898</v>
      </c>
      <c r="I197" s="199"/>
    </row>
    <row r="198" spans="2:9" x14ac:dyDescent="0.25">
      <c r="B198" s="192">
        <v>42627</v>
      </c>
      <c r="C198" s="281">
        <v>3500</v>
      </c>
      <c r="D198" s="282">
        <v>19.656559999999999</v>
      </c>
      <c r="E198" s="40">
        <v>12.91</v>
      </c>
      <c r="F198" s="40">
        <f t="shared" si="16"/>
        <v>-23612.959999999995</v>
      </c>
      <c r="G198" s="40">
        <f t="shared" si="17"/>
        <v>68797.959999999992</v>
      </c>
      <c r="H198" s="231">
        <f t="shared" si="18"/>
        <v>-0.34322180483258513</v>
      </c>
      <c r="I198" s="199">
        <v>19.5</v>
      </c>
    </row>
    <row r="199" spans="2:9" x14ac:dyDescent="0.25">
      <c r="B199" s="192">
        <v>42628</v>
      </c>
      <c r="C199" s="281">
        <v>3500</v>
      </c>
      <c r="D199" s="282">
        <v>19.656559999999999</v>
      </c>
      <c r="E199" s="40">
        <v>13.12</v>
      </c>
      <c r="F199" s="40">
        <f t="shared" si="16"/>
        <v>-22877.96</v>
      </c>
      <c r="G199" s="40">
        <f t="shared" si="17"/>
        <v>68797.959999999992</v>
      </c>
      <c r="H199" s="231">
        <f t="shared" si="18"/>
        <v>-0.33253834852079917</v>
      </c>
      <c r="I199" s="199"/>
    </row>
    <row r="200" spans="2:9" x14ac:dyDescent="0.25">
      <c r="B200" s="192">
        <v>42629</v>
      </c>
      <c r="C200" s="281">
        <v>3200</v>
      </c>
      <c r="D200" s="282">
        <v>20.254390000000001</v>
      </c>
      <c r="E200" s="40">
        <v>13.29</v>
      </c>
      <c r="F200" s="40">
        <f t="shared" si="16"/>
        <v>-22286.048000000006</v>
      </c>
      <c r="G200" s="40">
        <f t="shared" si="17"/>
        <v>64814.048000000003</v>
      </c>
      <c r="H200" s="231">
        <f t="shared" si="18"/>
        <v>-0.34384595142090191</v>
      </c>
      <c r="I200" s="199"/>
    </row>
    <row r="201" spans="2:9" x14ac:dyDescent="0.25">
      <c r="B201" s="192">
        <v>42633</v>
      </c>
      <c r="C201" s="281">
        <v>3200</v>
      </c>
      <c r="D201" s="282">
        <v>20.254390000000001</v>
      </c>
      <c r="E201" s="40">
        <v>13.62</v>
      </c>
      <c r="F201" s="40">
        <f t="shared" si="16"/>
        <v>-21230.048000000006</v>
      </c>
      <c r="G201" s="40">
        <f t="shared" si="17"/>
        <v>64814.048000000003</v>
      </c>
      <c r="H201" s="231">
        <f t="shared" si="18"/>
        <v>-0.3275531872349649</v>
      </c>
      <c r="I201" s="199"/>
    </row>
    <row r="202" spans="2:9" x14ac:dyDescent="0.25">
      <c r="B202" s="192">
        <v>42634</v>
      </c>
      <c r="C202" s="281">
        <v>3000</v>
      </c>
      <c r="D202" s="282">
        <v>20.66581</v>
      </c>
      <c r="E202" s="40">
        <v>13.79</v>
      </c>
      <c r="F202" s="40">
        <f t="shared" si="16"/>
        <v>-20627.430000000004</v>
      </c>
      <c r="G202" s="40">
        <f t="shared" si="17"/>
        <v>61997.43</v>
      </c>
      <c r="H202" s="231">
        <f t="shared" si="18"/>
        <v>-0.33271427541431964</v>
      </c>
      <c r="I202" s="241"/>
    </row>
    <row r="203" spans="2:9" x14ac:dyDescent="0.25">
      <c r="B203" s="192">
        <v>42635</v>
      </c>
      <c r="C203" s="281">
        <v>3000</v>
      </c>
      <c r="D203" s="282">
        <v>20.66581</v>
      </c>
      <c r="E203" s="40">
        <v>13.91</v>
      </c>
      <c r="F203" s="40">
        <f t="shared" si="16"/>
        <v>-20267.43</v>
      </c>
      <c r="G203" s="40">
        <f t="shared" si="17"/>
        <v>61997.43</v>
      </c>
      <c r="H203" s="231">
        <f t="shared" si="18"/>
        <v>-0.32690758310465451</v>
      </c>
      <c r="I203" s="241"/>
    </row>
    <row r="204" spans="2:9" x14ac:dyDescent="0.25">
      <c r="B204" s="192">
        <v>42639</v>
      </c>
      <c r="C204" s="281">
        <v>3000</v>
      </c>
      <c r="D204" s="282">
        <v>20.66581</v>
      </c>
      <c r="E204" s="40">
        <v>13.67</v>
      </c>
      <c r="F204" s="40">
        <f t="shared" si="16"/>
        <v>-20987.43</v>
      </c>
      <c r="G204" s="40">
        <f t="shared" si="17"/>
        <v>61997.43</v>
      </c>
      <c r="H204" s="231">
        <f t="shared" si="18"/>
        <v>-0.33852096772398471</v>
      </c>
      <c r="I204" s="241"/>
    </row>
    <row r="205" spans="2:9" x14ac:dyDescent="0.25">
      <c r="B205" s="192">
        <v>42640</v>
      </c>
      <c r="C205" s="281">
        <v>3000</v>
      </c>
      <c r="D205" s="282">
        <v>20.66581</v>
      </c>
      <c r="E205" s="40">
        <v>13.47</v>
      </c>
      <c r="F205" s="40">
        <f t="shared" ref="F205:F213" si="19">C205*(E205-D205)</f>
        <v>-21587.43</v>
      </c>
      <c r="G205" s="40">
        <f t="shared" ref="G205:G213" si="20">IF(C205=0, 0,D205*C205)</f>
        <v>61997.43</v>
      </c>
      <c r="H205" s="231">
        <f t="shared" ref="H205:H213" si="21">IF(C205=0, D205, (E205-D205)/D205)</f>
        <v>-0.34819878824009315</v>
      </c>
      <c r="I205" s="241"/>
    </row>
    <row r="206" spans="2:9" x14ac:dyDescent="0.25">
      <c r="B206" s="192">
        <v>42641</v>
      </c>
      <c r="C206" s="281">
        <v>3200</v>
      </c>
      <c r="D206" s="282">
        <v>20.206700000000001</v>
      </c>
      <c r="E206" s="40">
        <v>13.31</v>
      </c>
      <c r="F206" s="40">
        <f t="shared" si="19"/>
        <v>-22069.440000000002</v>
      </c>
      <c r="G206" s="40">
        <f t="shared" si="20"/>
        <v>64661.440000000002</v>
      </c>
      <c r="H206" s="231">
        <f t="shared" si="21"/>
        <v>-0.34130758609768047</v>
      </c>
      <c r="I206" s="241"/>
    </row>
    <row r="207" spans="2:9" x14ac:dyDescent="0.25">
      <c r="B207" s="192">
        <v>42642</v>
      </c>
      <c r="C207" s="10">
        <v>3500</v>
      </c>
      <c r="D207" s="199">
        <v>19.589269999999999</v>
      </c>
      <c r="E207" s="40">
        <v>12.76</v>
      </c>
      <c r="F207" s="40">
        <f t="shared" si="19"/>
        <v>-23902.444999999996</v>
      </c>
      <c r="G207" s="40">
        <f t="shared" si="20"/>
        <v>68562.444999999992</v>
      </c>
      <c r="H207" s="231">
        <f t="shared" si="21"/>
        <v>-0.34862299616065323</v>
      </c>
      <c r="I207" s="241">
        <v>19.5</v>
      </c>
    </row>
    <row r="208" spans="2:9" x14ac:dyDescent="0.25">
      <c r="B208" s="192">
        <v>42643</v>
      </c>
      <c r="C208" s="10">
        <v>4000</v>
      </c>
      <c r="D208" s="199">
        <v>18.7132623</v>
      </c>
      <c r="E208" s="40">
        <v>12.64</v>
      </c>
      <c r="F208" s="40">
        <f t="shared" si="19"/>
        <v>-24293.049199999998</v>
      </c>
      <c r="G208" s="40">
        <f t="shared" si="20"/>
        <v>74853.049199999994</v>
      </c>
      <c r="H208" s="231">
        <f t="shared" si="21"/>
        <v>-0.32454321446667261</v>
      </c>
      <c r="I208" s="241"/>
    </row>
    <row r="209" spans="2:9" x14ac:dyDescent="0.25">
      <c r="B209" s="192">
        <v>42646</v>
      </c>
      <c r="C209" s="10">
        <v>4500</v>
      </c>
      <c r="D209" s="199">
        <v>18.03387</v>
      </c>
      <c r="E209" s="40">
        <v>12.5</v>
      </c>
      <c r="F209" s="40">
        <f t="shared" si="19"/>
        <v>-24902.415000000001</v>
      </c>
      <c r="G209" s="40">
        <f t="shared" si="20"/>
        <v>81152.415000000008</v>
      </c>
      <c r="H209" s="231">
        <f t="shared" si="21"/>
        <v>-0.30685981433824244</v>
      </c>
      <c r="I209" s="241">
        <v>18</v>
      </c>
    </row>
    <row r="210" spans="2:9" x14ac:dyDescent="0.25">
      <c r="B210" s="192">
        <v>42646</v>
      </c>
      <c r="C210" s="10">
        <v>5000</v>
      </c>
      <c r="D210" s="199">
        <v>17.470690000000001</v>
      </c>
      <c r="E210" s="40">
        <v>12.5</v>
      </c>
      <c r="F210" s="40">
        <f t="shared" si="19"/>
        <v>-24853.450000000004</v>
      </c>
      <c r="G210" s="40">
        <f t="shared" si="20"/>
        <v>87353.450000000012</v>
      </c>
      <c r="H210" s="231">
        <f t="shared" si="21"/>
        <v>-0.2845159521461374</v>
      </c>
      <c r="I210" s="241"/>
    </row>
    <row r="211" spans="2:9" x14ac:dyDescent="0.25">
      <c r="B211" s="192">
        <v>42646</v>
      </c>
      <c r="C211" s="10">
        <v>4500</v>
      </c>
      <c r="D211" s="199">
        <v>18.020790000000002</v>
      </c>
      <c r="E211" s="40">
        <v>12.5</v>
      </c>
      <c r="F211" s="40">
        <f t="shared" si="19"/>
        <v>-24843.555000000008</v>
      </c>
      <c r="G211" s="40">
        <f t="shared" si="20"/>
        <v>81093.555000000008</v>
      </c>
      <c r="H211" s="231">
        <f t="shared" si="21"/>
        <v>-0.30635671355140376</v>
      </c>
      <c r="I211" s="241">
        <v>18</v>
      </c>
    </row>
    <row r="212" spans="2:9" x14ac:dyDescent="0.25">
      <c r="B212" s="192">
        <v>42647</v>
      </c>
      <c r="C212" s="10">
        <v>5000</v>
      </c>
      <c r="D212" s="199">
        <v>17.436710000000001</v>
      </c>
      <c r="E212" s="40">
        <v>12.2</v>
      </c>
      <c r="F212" s="40">
        <f t="shared" si="19"/>
        <v>-26183.55000000001</v>
      </c>
      <c r="G212" s="40">
        <f t="shared" si="20"/>
        <v>87183.55</v>
      </c>
      <c r="H212" s="231">
        <f t="shared" si="21"/>
        <v>-0.30032672447956077</v>
      </c>
      <c r="I212" s="241"/>
    </row>
    <row r="213" spans="2:9" x14ac:dyDescent="0.25">
      <c r="B213" s="192">
        <v>42648</v>
      </c>
      <c r="C213" s="10">
        <v>4500</v>
      </c>
      <c r="D213" s="199">
        <v>17.994160000000001</v>
      </c>
      <c r="E213" s="40">
        <v>12.33</v>
      </c>
      <c r="F213" s="40">
        <f t="shared" si="19"/>
        <v>-25488.720000000005</v>
      </c>
      <c r="G213" s="40">
        <f t="shared" si="20"/>
        <v>80973.72</v>
      </c>
      <c r="H213" s="231">
        <f t="shared" si="21"/>
        <v>-0.31477768342617829</v>
      </c>
      <c r="I213" s="241" t="s">
        <v>311</v>
      </c>
    </row>
    <row r="214" spans="2:9" x14ac:dyDescent="0.25">
      <c r="B214" s="192">
        <v>42650</v>
      </c>
      <c r="C214" s="10">
        <v>4500</v>
      </c>
      <c r="D214" s="199">
        <v>17.994160000000001</v>
      </c>
      <c r="E214" s="40">
        <v>12.55</v>
      </c>
      <c r="F214" s="40">
        <f t="shared" ref="F214:F233" si="22">C214*(E214-D214)</f>
        <v>-24498.720000000001</v>
      </c>
      <c r="G214" s="40">
        <f t="shared" ref="G214:G233" si="23">IF(C214=0, 0,D214*C214)</f>
        <v>80973.72</v>
      </c>
      <c r="H214" s="231">
        <f t="shared" ref="H214:H233" si="24">IF(C214=0, D214, (E214-D214)/D214)</f>
        <v>-0.30255149448487728</v>
      </c>
      <c r="I214" s="241"/>
    </row>
    <row r="215" spans="2:9" x14ac:dyDescent="0.25">
      <c r="B215" s="192">
        <v>42653</v>
      </c>
      <c r="C215" s="10">
        <v>3500</v>
      </c>
      <c r="D215" s="199">
        <v>19.463999999999999</v>
      </c>
      <c r="E215" s="40">
        <v>13.15</v>
      </c>
      <c r="F215" s="40">
        <f t="shared" si="22"/>
        <v>-22098.999999999993</v>
      </c>
      <c r="G215" s="40">
        <f t="shared" si="23"/>
        <v>68124</v>
      </c>
      <c r="H215" s="231">
        <f t="shared" si="24"/>
        <v>-0.32439375256884501</v>
      </c>
      <c r="I215" s="241" t="s">
        <v>308</v>
      </c>
    </row>
    <row r="216" spans="2:9" x14ac:dyDescent="0.25">
      <c r="B216" s="192">
        <v>42653</v>
      </c>
      <c r="C216" s="10">
        <v>3000</v>
      </c>
      <c r="D216" s="199">
        <v>20.51971</v>
      </c>
      <c r="E216" s="40">
        <v>13.15</v>
      </c>
      <c r="F216" s="40">
        <f t="shared" si="22"/>
        <v>-22109.129999999997</v>
      </c>
      <c r="G216" s="40">
        <f t="shared" si="23"/>
        <v>61559.13</v>
      </c>
      <c r="H216" s="231">
        <f t="shared" si="24"/>
        <v>-0.35915273656401575</v>
      </c>
      <c r="I216" s="241"/>
    </row>
    <row r="217" spans="2:9" x14ac:dyDescent="0.25">
      <c r="B217" s="192">
        <v>42662</v>
      </c>
      <c r="C217" s="10">
        <v>2700</v>
      </c>
      <c r="D217" s="199">
        <v>21.341930000000001</v>
      </c>
      <c r="E217" s="40">
        <v>13.07</v>
      </c>
      <c r="F217" s="40">
        <f t="shared" si="22"/>
        <v>-22334.211000000003</v>
      </c>
      <c r="G217" s="40">
        <f t="shared" si="23"/>
        <v>57623.211000000003</v>
      </c>
      <c r="H217" s="231">
        <f t="shared" si="24"/>
        <v>-0.38759053187785736</v>
      </c>
      <c r="I217" s="241" t="s">
        <v>310</v>
      </c>
    </row>
    <row r="218" spans="2:9" x14ac:dyDescent="0.25">
      <c r="B218" s="192">
        <v>42664</v>
      </c>
      <c r="C218" s="438">
        <v>3000</v>
      </c>
      <c r="D218" s="497">
        <v>20.47974</v>
      </c>
      <c r="E218" s="40">
        <v>12.66</v>
      </c>
      <c r="F218" s="40">
        <f t="shared" si="22"/>
        <v>-23459.219999999998</v>
      </c>
      <c r="G218" s="40">
        <f t="shared" si="23"/>
        <v>61439.22</v>
      </c>
      <c r="H218" s="231">
        <f t="shared" si="24"/>
        <v>-0.38182808961441894</v>
      </c>
      <c r="I218" s="241"/>
    </row>
    <row r="219" spans="2:9" x14ac:dyDescent="0.25">
      <c r="B219" s="192">
        <v>42667</v>
      </c>
      <c r="C219" s="281">
        <v>3200</v>
      </c>
      <c r="D219" s="282">
        <v>19.973510000000001</v>
      </c>
      <c r="E219" s="40">
        <v>12.42</v>
      </c>
      <c r="F219" s="40">
        <f t="shared" si="22"/>
        <v>-24171.232000000004</v>
      </c>
      <c r="G219" s="40">
        <f t="shared" si="23"/>
        <v>63915.232000000004</v>
      </c>
      <c r="H219" s="231">
        <f t="shared" si="24"/>
        <v>-0.37817639463469371</v>
      </c>
      <c r="I219" s="241" t="s">
        <v>312</v>
      </c>
    </row>
    <row r="220" spans="2:9" x14ac:dyDescent="0.25">
      <c r="B220" s="192">
        <v>42668</v>
      </c>
      <c r="C220" s="281">
        <v>3500</v>
      </c>
      <c r="D220" s="282">
        <v>19.305489999999999</v>
      </c>
      <c r="E220" s="40">
        <v>12.16</v>
      </c>
      <c r="F220" s="40">
        <f t="shared" si="22"/>
        <v>-25009.214999999997</v>
      </c>
      <c r="G220" s="40">
        <f t="shared" si="23"/>
        <v>67569.214999999997</v>
      </c>
      <c r="H220" s="231">
        <f t="shared" si="24"/>
        <v>-0.37012735755476805</v>
      </c>
      <c r="I220" s="241">
        <v>19.25</v>
      </c>
    </row>
    <row r="221" spans="2:9" x14ac:dyDescent="0.25">
      <c r="B221" s="192">
        <v>42669</v>
      </c>
      <c r="C221" s="281">
        <v>3500</v>
      </c>
      <c r="D221" s="282">
        <v>19.305</v>
      </c>
      <c r="E221" s="40">
        <v>11.9</v>
      </c>
      <c r="F221" s="40">
        <f t="shared" si="22"/>
        <v>-25917.499999999996</v>
      </c>
      <c r="G221" s="40">
        <f t="shared" si="23"/>
        <v>67567.5</v>
      </c>
      <c r="H221" s="231">
        <f t="shared" si="24"/>
        <v>-0.38357938357938354</v>
      </c>
      <c r="I221" s="241"/>
    </row>
    <row r="222" spans="2:9" x14ac:dyDescent="0.25">
      <c r="B222" s="192">
        <v>42671</v>
      </c>
      <c r="C222" s="281">
        <v>3500</v>
      </c>
      <c r="D222" s="282">
        <v>19.29607</v>
      </c>
      <c r="E222" s="40">
        <v>11.76</v>
      </c>
      <c r="F222" s="40">
        <f t="shared" si="22"/>
        <v>-26376.245000000003</v>
      </c>
      <c r="G222" s="40">
        <f t="shared" si="23"/>
        <v>67536.244999999995</v>
      </c>
      <c r="H222" s="231">
        <f t="shared" si="24"/>
        <v>-0.39054947458212996</v>
      </c>
      <c r="I222" s="241">
        <v>19.25</v>
      </c>
    </row>
    <row r="223" spans="2:9" x14ac:dyDescent="0.25">
      <c r="B223" s="192">
        <v>42676</v>
      </c>
      <c r="C223" s="281">
        <v>3800</v>
      </c>
      <c r="D223" s="282">
        <v>18.651119999999999</v>
      </c>
      <c r="E223" s="40">
        <v>10.89</v>
      </c>
      <c r="F223" s="40">
        <f t="shared" si="22"/>
        <v>-29492.255999999994</v>
      </c>
      <c r="G223" s="40">
        <f t="shared" si="23"/>
        <v>70874.255999999994</v>
      </c>
      <c r="H223" s="231">
        <f t="shared" si="24"/>
        <v>-0.41612085494061474</v>
      </c>
      <c r="I223" s="241"/>
    </row>
    <row r="224" spans="2:9" x14ac:dyDescent="0.25">
      <c r="B224" s="192">
        <v>42677</v>
      </c>
      <c r="C224" s="281">
        <v>3500</v>
      </c>
      <c r="D224" s="282">
        <v>19.289809999999999</v>
      </c>
      <c r="E224" s="40">
        <v>11.1</v>
      </c>
      <c r="F224" s="40">
        <f t="shared" si="22"/>
        <v>-28664.334999999999</v>
      </c>
      <c r="G224" s="40">
        <f t="shared" si="23"/>
        <v>67514.334999999992</v>
      </c>
      <c r="H224" s="231">
        <f t="shared" si="24"/>
        <v>-0.4245666494382267</v>
      </c>
      <c r="I224" s="241">
        <v>19.25</v>
      </c>
    </row>
    <row r="225" spans="1:9" x14ac:dyDescent="0.25">
      <c r="B225" s="192">
        <v>42701</v>
      </c>
      <c r="C225" s="281">
        <v>3500</v>
      </c>
      <c r="D225" s="282">
        <v>19.206700000000001</v>
      </c>
      <c r="E225" s="40">
        <v>11.72</v>
      </c>
      <c r="F225" s="40">
        <f t="shared" si="22"/>
        <v>-26203.450000000004</v>
      </c>
      <c r="G225" s="40">
        <f t="shared" si="23"/>
        <v>67223.450000000012</v>
      </c>
      <c r="H225" s="231">
        <f t="shared" si="24"/>
        <v>-0.38979626901029329</v>
      </c>
      <c r="I225" s="241" t="s">
        <v>319</v>
      </c>
    </row>
    <row r="226" spans="1:9" x14ac:dyDescent="0.25">
      <c r="B226" s="192">
        <v>42702</v>
      </c>
      <c r="C226" s="281">
        <v>3200</v>
      </c>
      <c r="D226" s="282">
        <v>19.891770000000001</v>
      </c>
      <c r="E226" s="40">
        <v>11.92</v>
      </c>
      <c r="F226" s="40">
        <f t="shared" si="22"/>
        <v>-25509.664000000004</v>
      </c>
      <c r="G226" s="40">
        <f t="shared" si="23"/>
        <v>63653.664000000004</v>
      </c>
      <c r="H226" s="231">
        <f t="shared" si="24"/>
        <v>-0.40075719757467537</v>
      </c>
      <c r="I226" s="241"/>
    </row>
    <row r="227" spans="1:9" x14ac:dyDescent="0.25">
      <c r="B227" s="192">
        <v>42704</v>
      </c>
      <c r="C227" s="281">
        <v>3500</v>
      </c>
      <c r="D227" s="282">
        <v>19.160499999999999</v>
      </c>
      <c r="E227" s="40">
        <v>11.15</v>
      </c>
      <c r="F227" s="40">
        <f t="shared" si="22"/>
        <v>-28036.749999999996</v>
      </c>
      <c r="G227" s="40">
        <f t="shared" si="23"/>
        <v>67061.75</v>
      </c>
      <c r="H227" s="231">
        <f t="shared" si="24"/>
        <v>-0.41807364108452277</v>
      </c>
      <c r="I227" s="241">
        <v>19</v>
      </c>
    </row>
    <row r="228" spans="1:9" x14ac:dyDescent="0.25">
      <c r="B228" s="192">
        <v>42705</v>
      </c>
      <c r="C228" s="281">
        <v>4000</v>
      </c>
      <c r="D228" s="282">
        <v>18.104399999999998</v>
      </c>
      <c r="E228" s="40">
        <v>10.41</v>
      </c>
      <c r="F228" s="40">
        <f t="shared" si="22"/>
        <v>-30777.599999999991</v>
      </c>
      <c r="G228" s="40">
        <f t="shared" si="23"/>
        <v>72417.599999999991</v>
      </c>
      <c r="H228" s="231">
        <f t="shared" si="24"/>
        <v>-0.42500165705574328</v>
      </c>
      <c r="I228" s="241"/>
    </row>
    <row r="229" spans="1:9" x14ac:dyDescent="0.25">
      <c r="B229" s="192">
        <v>42710</v>
      </c>
      <c r="C229" s="281">
        <v>3500</v>
      </c>
      <c r="D229" s="282">
        <v>19.114180000000001</v>
      </c>
      <c r="E229" s="40">
        <v>11.1</v>
      </c>
      <c r="F229" s="40">
        <f t="shared" si="22"/>
        <v>-28049.630000000005</v>
      </c>
      <c r="G229" s="40">
        <f t="shared" si="23"/>
        <v>66899.63</v>
      </c>
      <c r="H229" s="231">
        <f t="shared" si="24"/>
        <v>-0.41927929945202991</v>
      </c>
      <c r="I229" s="241">
        <v>19</v>
      </c>
    </row>
    <row r="230" spans="1:9" x14ac:dyDescent="0.25">
      <c r="B230" s="192">
        <v>42711</v>
      </c>
      <c r="C230" s="281">
        <v>3200</v>
      </c>
      <c r="D230" s="282">
        <v>19.857089999999999</v>
      </c>
      <c r="E230" s="40">
        <v>11.06</v>
      </c>
      <c r="F230" s="40">
        <f t="shared" si="22"/>
        <v>-28150.687999999998</v>
      </c>
      <c r="G230" s="40">
        <f t="shared" si="23"/>
        <v>63542.687999999995</v>
      </c>
      <c r="H230" s="231">
        <f t="shared" si="24"/>
        <v>-0.44302010012544635</v>
      </c>
      <c r="I230" s="241"/>
    </row>
    <row r="231" spans="1:9" x14ac:dyDescent="0.25">
      <c r="B231" s="192">
        <v>42712</v>
      </c>
      <c r="C231" s="438">
        <v>3000</v>
      </c>
      <c r="D231" s="497">
        <v>20.420919999999999</v>
      </c>
      <c r="E231" s="40">
        <v>11.28</v>
      </c>
      <c r="F231" s="40">
        <f t="shared" si="22"/>
        <v>-27422.76</v>
      </c>
      <c r="G231" s="40">
        <f t="shared" si="23"/>
        <v>61262.759999999995</v>
      </c>
      <c r="H231" s="231">
        <f t="shared" si="24"/>
        <v>-0.44762527839098337</v>
      </c>
      <c r="I231" s="241"/>
    </row>
    <row r="232" spans="1:9" x14ac:dyDescent="0.25">
      <c r="B232" s="192">
        <v>42713</v>
      </c>
      <c r="C232" s="281">
        <v>2800</v>
      </c>
      <c r="D232" s="282">
        <v>21.042400000000001</v>
      </c>
      <c r="E232" s="40">
        <v>11.66</v>
      </c>
      <c r="F232" s="40">
        <f t="shared" si="22"/>
        <v>-26270.720000000001</v>
      </c>
      <c r="G232" s="40">
        <f t="shared" si="23"/>
        <v>58918.720000000001</v>
      </c>
      <c r="H232" s="231">
        <f t="shared" si="24"/>
        <v>-0.44588069801923735</v>
      </c>
      <c r="I232" s="241"/>
    </row>
    <row r="233" spans="1:9" x14ac:dyDescent="0.25">
      <c r="B233" s="192">
        <v>42716</v>
      </c>
      <c r="C233" s="438">
        <v>3000</v>
      </c>
      <c r="D233" s="497">
        <v>20.4023</v>
      </c>
      <c r="E233" s="40">
        <v>11.43</v>
      </c>
      <c r="F233" s="40">
        <f t="shared" si="22"/>
        <v>-26916.9</v>
      </c>
      <c r="G233" s="40">
        <f t="shared" si="23"/>
        <v>61206.9</v>
      </c>
      <c r="H233" s="231">
        <f t="shared" si="24"/>
        <v>-0.43976904564681435</v>
      </c>
      <c r="I233" s="241"/>
    </row>
    <row r="234" spans="1:9" x14ac:dyDescent="0.25">
      <c r="B234" s="192">
        <v>42731</v>
      </c>
      <c r="C234" s="281">
        <v>3000</v>
      </c>
      <c r="D234" s="282">
        <v>20.402000000000001</v>
      </c>
      <c r="E234" s="40">
        <v>11.71</v>
      </c>
      <c r="F234" s="40">
        <f t="shared" ref="F234:F247" si="25">C234*(E234-D234)</f>
        <v>-26076</v>
      </c>
      <c r="G234" s="40">
        <f t="shared" ref="G234:G247" si="26">IF(C234=0, 0,D234*C234)</f>
        <v>61206</v>
      </c>
      <c r="H234" s="231">
        <f t="shared" ref="H234:H247" si="27">IF(C234=0, D234, (E234-D234)/D234)</f>
        <v>-0.4260366630722478</v>
      </c>
      <c r="I234" s="199"/>
    </row>
    <row r="235" spans="1:9" x14ac:dyDescent="0.25">
      <c r="B235" s="192">
        <v>42733</v>
      </c>
      <c r="C235" s="423">
        <v>2000</v>
      </c>
      <c r="D235" s="211">
        <v>24.788530000000002</v>
      </c>
      <c r="E235" s="40">
        <v>11.64</v>
      </c>
      <c r="F235" s="40">
        <f t="shared" si="25"/>
        <v>-26297.06</v>
      </c>
      <c r="G235" s="40">
        <f t="shared" si="26"/>
        <v>49577.060000000005</v>
      </c>
      <c r="H235" s="231">
        <f t="shared" si="27"/>
        <v>-0.53042798423303039</v>
      </c>
      <c r="I235" s="440" t="s">
        <v>352</v>
      </c>
    </row>
    <row r="236" spans="1:9" x14ac:dyDescent="0.25">
      <c r="A236" t="s">
        <v>372</v>
      </c>
      <c r="B236" s="192">
        <v>42754</v>
      </c>
      <c r="C236" s="281">
        <v>2000</v>
      </c>
      <c r="D236" s="282">
        <v>24.788530000000002</v>
      </c>
      <c r="E236" s="40">
        <v>12.19</v>
      </c>
      <c r="F236" s="40">
        <f t="shared" si="25"/>
        <v>-25197.060000000005</v>
      </c>
      <c r="G236" s="40">
        <f t="shared" si="26"/>
        <v>49577.060000000005</v>
      </c>
      <c r="H236" s="231">
        <f t="shared" si="27"/>
        <v>-0.50824030307565637</v>
      </c>
      <c r="I236" s="199"/>
    </row>
    <row r="237" spans="1:9" x14ac:dyDescent="0.25">
      <c r="A237" t="s">
        <v>402</v>
      </c>
      <c r="B237" s="192">
        <v>42760</v>
      </c>
      <c r="C237" s="281">
        <v>2000</v>
      </c>
      <c r="D237" s="282">
        <v>24.788530000000002</v>
      </c>
      <c r="E237" s="40">
        <v>11.81</v>
      </c>
      <c r="F237" s="40">
        <f t="shared" si="25"/>
        <v>-25957.06</v>
      </c>
      <c r="G237" s="40">
        <f t="shared" si="26"/>
        <v>49577.060000000005</v>
      </c>
      <c r="H237" s="231">
        <f t="shared" si="27"/>
        <v>-0.52356997369347835</v>
      </c>
      <c r="I237" s="199"/>
    </row>
    <row r="238" spans="1:9" x14ac:dyDescent="0.25">
      <c r="A238" t="s">
        <v>402</v>
      </c>
      <c r="B238" s="192">
        <v>42762</v>
      </c>
      <c r="C238" s="281">
        <v>2000</v>
      </c>
      <c r="D238" s="282">
        <v>24.788530000000002</v>
      </c>
      <c r="E238" s="40">
        <v>11.77</v>
      </c>
      <c r="F238" s="40">
        <f t="shared" si="25"/>
        <v>-26037.060000000005</v>
      </c>
      <c r="G238" s="40">
        <f t="shared" si="26"/>
        <v>49577.060000000005</v>
      </c>
      <c r="H238" s="231">
        <f t="shared" si="27"/>
        <v>-0.52518362323219658</v>
      </c>
      <c r="I238" s="199"/>
    </row>
    <row r="239" spans="1:9" x14ac:dyDescent="0.25">
      <c r="A239" t="s">
        <v>422</v>
      </c>
      <c r="B239" s="192">
        <v>42765</v>
      </c>
      <c r="C239" s="281">
        <v>2200</v>
      </c>
      <c r="D239" s="282">
        <v>23.578659999999999</v>
      </c>
      <c r="E239" s="40">
        <v>11.55</v>
      </c>
      <c r="F239" s="40">
        <f t="shared" si="25"/>
        <v>-26463.051999999996</v>
      </c>
      <c r="G239" s="40">
        <f t="shared" si="26"/>
        <v>51873.051999999996</v>
      </c>
      <c r="H239" s="231">
        <f t="shared" si="27"/>
        <v>-0.51015027995653695</v>
      </c>
      <c r="I239" s="199"/>
    </row>
    <row r="240" spans="1:9" x14ac:dyDescent="0.25">
      <c r="A240" t="s">
        <v>426</v>
      </c>
      <c r="B240" s="192">
        <v>42766</v>
      </c>
      <c r="C240" s="423">
        <v>2000</v>
      </c>
      <c r="D240" s="211">
        <v>24.771550000000001</v>
      </c>
      <c r="E240" s="40">
        <v>11.8</v>
      </c>
      <c r="F240" s="40">
        <f t="shared" si="25"/>
        <v>-25943.100000000002</v>
      </c>
      <c r="G240" s="40">
        <f t="shared" si="26"/>
        <v>49543.100000000006</v>
      </c>
      <c r="H240" s="231">
        <f t="shared" si="27"/>
        <v>-0.523647087081753</v>
      </c>
      <c r="I240" s="199"/>
    </row>
    <row r="241" spans="1:9" x14ac:dyDescent="0.25">
      <c r="A241" t="s">
        <v>445</v>
      </c>
      <c r="B241" s="192">
        <v>42769</v>
      </c>
      <c r="C241" s="423">
        <v>2000</v>
      </c>
      <c r="D241" s="211">
        <v>24.734089999999998</v>
      </c>
      <c r="E241" s="40">
        <v>11.65</v>
      </c>
      <c r="F241" s="40">
        <f t="shared" si="25"/>
        <v>-26168.179999999997</v>
      </c>
      <c r="G241" s="40">
        <f t="shared" si="26"/>
        <v>49468.18</v>
      </c>
      <c r="H241" s="231">
        <f t="shared" si="27"/>
        <v>-0.5289901508403988</v>
      </c>
      <c r="I241" s="440">
        <v>24.5</v>
      </c>
    </row>
    <row r="242" spans="1:9" x14ac:dyDescent="0.25">
      <c r="A242" t="s">
        <v>453</v>
      </c>
      <c r="B242" s="192">
        <v>42772</v>
      </c>
      <c r="C242" s="281">
        <v>2500</v>
      </c>
      <c r="D242" s="282">
        <v>22.031269999999999</v>
      </c>
      <c r="E242" s="40">
        <v>11.12</v>
      </c>
      <c r="F242" s="40">
        <f t="shared" si="25"/>
        <v>-27278.174999999999</v>
      </c>
      <c r="G242" s="40">
        <f t="shared" si="26"/>
        <v>55078.174999999996</v>
      </c>
      <c r="H242" s="231">
        <f t="shared" si="27"/>
        <v>-0.49526286954860071</v>
      </c>
      <c r="I242" s="199"/>
    </row>
    <row r="243" spans="1:9" x14ac:dyDescent="0.25">
      <c r="A243" t="s">
        <v>456</v>
      </c>
      <c r="B243" s="192">
        <v>42773</v>
      </c>
      <c r="C243" s="438">
        <v>3000</v>
      </c>
      <c r="D243" s="497">
        <v>20.196059999999999</v>
      </c>
      <c r="E243" s="40">
        <v>11.1</v>
      </c>
      <c r="F243" s="40">
        <f t="shared" si="25"/>
        <v>-27288.18</v>
      </c>
      <c r="G243" s="40">
        <f t="shared" si="26"/>
        <v>60588.18</v>
      </c>
      <c r="H243" s="231">
        <f t="shared" si="27"/>
        <v>-0.45038784792677383</v>
      </c>
      <c r="I243" s="199"/>
    </row>
    <row r="244" spans="1:9" x14ac:dyDescent="0.25">
      <c r="A244" t="s">
        <v>461</v>
      </c>
      <c r="B244" s="192">
        <v>42774</v>
      </c>
      <c r="C244" s="423">
        <v>2000</v>
      </c>
      <c r="D244" s="211">
        <v>24.595400000000001</v>
      </c>
      <c r="E244" s="40">
        <v>11.42</v>
      </c>
      <c r="F244" s="40">
        <f t="shared" si="25"/>
        <v>-26350.800000000003</v>
      </c>
      <c r="G244" s="40">
        <f t="shared" si="26"/>
        <v>49190.8</v>
      </c>
      <c r="H244" s="231">
        <f t="shared" si="27"/>
        <v>-0.53568553469347935</v>
      </c>
      <c r="I244" s="440">
        <v>24.5</v>
      </c>
    </row>
    <row r="245" spans="1:9" x14ac:dyDescent="0.25">
      <c r="A245" t="s">
        <v>465</v>
      </c>
      <c r="B245" s="192">
        <v>42775</v>
      </c>
      <c r="C245" s="281">
        <v>2500</v>
      </c>
      <c r="D245" s="282">
        <v>21.912369999999999</v>
      </c>
      <c r="E245" s="40">
        <v>11.14</v>
      </c>
      <c r="F245" s="40">
        <f t="shared" si="25"/>
        <v>-26930.924999999996</v>
      </c>
      <c r="G245" s="40">
        <f t="shared" si="26"/>
        <v>54780.924999999996</v>
      </c>
      <c r="H245" s="231">
        <f t="shared" si="27"/>
        <v>-0.49161135924594185</v>
      </c>
      <c r="I245" s="199"/>
    </row>
    <row r="246" spans="1:9" x14ac:dyDescent="0.25">
      <c r="A246" t="s">
        <v>466</v>
      </c>
      <c r="B246" s="192">
        <v>42775</v>
      </c>
      <c r="C246" s="438">
        <v>3000</v>
      </c>
      <c r="D246" s="497">
        <v>20.101970000000001</v>
      </c>
      <c r="E246" s="40">
        <v>10.92</v>
      </c>
      <c r="F246" s="40">
        <f t="shared" si="25"/>
        <v>-27545.910000000003</v>
      </c>
      <c r="G246" s="40">
        <f t="shared" si="26"/>
        <v>60305.91</v>
      </c>
      <c r="H246" s="231">
        <f t="shared" si="27"/>
        <v>-0.45676965988905571</v>
      </c>
      <c r="I246" s="497">
        <v>20</v>
      </c>
    </row>
    <row r="247" spans="1:9" x14ac:dyDescent="0.25">
      <c r="A247" t="s">
        <v>471</v>
      </c>
      <c r="B247" s="192">
        <v>42776</v>
      </c>
      <c r="C247" s="281">
        <v>2500</v>
      </c>
      <c r="D247" s="282">
        <v>21.806419999999999</v>
      </c>
      <c r="E247" s="40">
        <v>11.65</v>
      </c>
      <c r="F247" s="40">
        <f t="shared" si="25"/>
        <v>-25391.049999999996</v>
      </c>
      <c r="G247" s="40">
        <f t="shared" si="26"/>
        <v>54516.049999999996</v>
      </c>
      <c r="H247" s="231">
        <f t="shared" si="27"/>
        <v>-0.4657536633706954</v>
      </c>
      <c r="I247" s="199"/>
    </row>
    <row r="248" spans="1:9" x14ac:dyDescent="0.25">
      <c r="A248" t="s">
        <v>471</v>
      </c>
      <c r="B248" s="192">
        <v>42790</v>
      </c>
      <c r="C248" s="281">
        <v>2500</v>
      </c>
      <c r="D248" s="282">
        <v>21.806419999999999</v>
      </c>
      <c r="E248" s="40">
        <v>11.76</v>
      </c>
      <c r="F248" s="40">
        <f t="shared" ref="F248" si="28">C248*(E248-D248)</f>
        <v>-25116.05</v>
      </c>
      <c r="G248" s="40">
        <f t="shared" ref="G248" si="29">IF(C248=0, 0,D248*C248)</f>
        <v>54516.049999999996</v>
      </c>
      <c r="H248" s="231">
        <f t="shared" ref="H248" si="30">IF(C248=0, D248, (E248-D248)/D248)</f>
        <v>-0.46070927735960326</v>
      </c>
      <c r="I248" s="199"/>
    </row>
    <row r="249" spans="1:9" x14ac:dyDescent="0.25">
      <c r="B249" s="192"/>
      <c r="C249" s="281"/>
      <c r="D249" s="282"/>
      <c r="E249" s="40"/>
      <c r="F249" s="40"/>
      <c r="G249" s="40"/>
      <c r="H249" s="231"/>
      <c r="I249" s="199"/>
    </row>
    <row r="250" spans="1:9" x14ac:dyDescent="0.25">
      <c r="B250" s="192"/>
      <c r="C250" s="281"/>
      <c r="D250" s="282"/>
      <c r="E250" s="40"/>
      <c r="F250" s="40"/>
      <c r="G250" s="40"/>
      <c r="H250" s="231"/>
      <c r="I250" s="199"/>
    </row>
    <row r="251" spans="1:9" x14ac:dyDescent="0.25">
      <c r="B251" s="192"/>
      <c r="C251" s="281"/>
      <c r="D251" s="282"/>
      <c r="E251" s="40"/>
      <c r="F251" s="40"/>
      <c r="G251" s="40"/>
      <c r="H251" s="231"/>
      <c r="I251" s="199"/>
    </row>
    <row r="252" spans="1:9" x14ac:dyDescent="0.25">
      <c r="B252" s="192"/>
      <c r="C252" s="281"/>
      <c r="D252" s="282"/>
      <c r="E252" s="40"/>
      <c r="F252" s="40"/>
      <c r="G252" s="40"/>
      <c r="H252" s="231"/>
      <c r="I252" s="199"/>
    </row>
    <row r="253" spans="1:9" x14ac:dyDescent="0.25">
      <c r="B253" s="192"/>
      <c r="C253" s="281"/>
      <c r="D253" s="282"/>
      <c r="E253" s="40"/>
      <c r="F253" s="40"/>
      <c r="G253" s="40"/>
      <c r="H253" s="231"/>
      <c r="I253" s="199"/>
    </row>
    <row r="254" spans="1:9" x14ac:dyDescent="0.25">
      <c r="B254" s="192"/>
      <c r="C254" s="281"/>
      <c r="D254" s="282"/>
      <c r="E254" s="40"/>
      <c r="F254" s="40"/>
      <c r="G254" s="40"/>
      <c r="H254" s="231"/>
      <c r="I254" s="199"/>
    </row>
    <row r="255" spans="1:9" x14ac:dyDescent="0.25">
      <c r="B255" s="192"/>
      <c r="C255" s="281"/>
      <c r="D255" s="282"/>
      <c r="E255" s="40"/>
      <c r="F255" s="40"/>
      <c r="G255" s="40"/>
      <c r="H255" s="231"/>
      <c r="I255" s="199"/>
    </row>
    <row r="256" spans="1:9" x14ac:dyDescent="0.25">
      <c r="B256" s="192"/>
      <c r="C256" s="281"/>
      <c r="D256" s="282"/>
      <c r="E256" s="40"/>
      <c r="F256" s="40"/>
      <c r="G256" s="40"/>
      <c r="H256" s="231"/>
      <c r="I256" s="199"/>
    </row>
    <row r="257" spans="2:9" x14ac:dyDescent="0.25">
      <c r="B257" s="192"/>
      <c r="C257" s="10"/>
      <c r="D257" s="199"/>
      <c r="E257" s="40"/>
      <c r="F257" s="40"/>
      <c r="G257" s="40"/>
      <c r="H257" s="231"/>
      <c r="I257" s="199"/>
    </row>
    <row r="258" spans="2:9" x14ac:dyDescent="0.25">
      <c r="B258" s="192"/>
      <c r="C258" s="10"/>
      <c r="D258" s="199"/>
      <c r="E258" s="40"/>
      <c r="F258" s="40"/>
      <c r="G258" s="40"/>
      <c r="H258" s="231"/>
      <c r="I258" s="199"/>
    </row>
    <row r="259" spans="2:9" x14ac:dyDescent="0.25">
      <c r="B259" s="192"/>
      <c r="C259" s="10"/>
      <c r="D259" s="199"/>
      <c r="E259" s="40"/>
      <c r="F259" s="40"/>
      <c r="G259" s="40"/>
      <c r="H259" s="231"/>
      <c r="I259" s="199"/>
    </row>
    <row r="260" spans="2:9" x14ac:dyDescent="0.25">
      <c r="B260" s="192"/>
      <c r="C260" s="10"/>
      <c r="D260" s="199"/>
      <c r="E260" s="40"/>
      <c r="F260" s="40"/>
      <c r="G260" s="40"/>
      <c r="H260" s="231"/>
      <c r="I260" s="199"/>
    </row>
    <row r="261" spans="2:9" x14ac:dyDescent="0.25">
      <c r="B261" s="192"/>
      <c r="C261" s="281"/>
      <c r="D261" s="282"/>
      <c r="E261" s="40"/>
      <c r="F261" s="40"/>
      <c r="G261" s="40"/>
      <c r="H261" s="231"/>
      <c r="I261" s="199"/>
    </row>
    <row r="262" spans="2:9" x14ac:dyDescent="0.25">
      <c r="B262" s="192"/>
      <c r="C262" s="281"/>
      <c r="D262" s="282"/>
      <c r="E262" s="40"/>
      <c r="F262" s="40"/>
      <c r="G262" s="40"/>
      <c r="H262" s="231"/>
      <c r="I262" s="199"/>
    </row>
    <row r="263" spans="2:9" x14ac:dyDescent="0.25">
      <c r="B263" s="192"/>
      <c r="C263" s="281"/>
      <c r="D263" s="282"/>
      <c r="E263" s="40"/>
      <c r="F263" s="40"/>
      <c r="G263" s="40"/>
      <c r="H263" s="231"/>
      <c r="I263" s="199"/>
    </row>
    <row r="264" spans="2:9" x14ac:dyDescent="0.25">
      <c r="B264" s="192"/>
      <c r="C264" s="281"/>
      <c r="D264" s="282"/>
      <c r="E264" s="40"/>
      <c r="F264" s="40"/>
      <c r="G264" s="40"/>
      <c r="H264" s="231"/>
      <c r="I264" s="199"/>
    </row>
    <row r="265" spans="2:9" x14ac:dyDescent="0.25">
      <c r="B265" s="192"/>
      <c r="C265" s="281"/>
      <c r="D265" s="282"/>
      <c r="E265" s="40"/>
      <c r="F265" s="40"/>
      <c r="G265" s="40"/>
      <c r="H265" s="231"/>
      <c r="I265" s="199"/>
    </row>
    <row r="266" spans="2:9" x14ac:dyDescent="0.25">
      <c r="B266" s="192"/>
      <c r="C266" s="281"/>
      <c r="D266" s="282"/>
      <c r="E266" s="40"/>
      <c r="F266" s="40"/>
      <c r="G266" s="40"/>
      <c r="H266" s="231"/>
      <c r="I266" s="199"/>
    </row>
    <row r="267" spans="2:9" x14ac:dyDescent="0.25">
      <c r="B267" s="192"/>
      <c r="C267" s="281"/>
      <c r="D267" s="282"/>
      <c r="E267" s="40"/>
      <c r="F267" s="40"/>
      <c r="G267" s="40"/>
      <c r="H267" s="231"/>
      <c r="I267" s="199"/>
    </row>
    <row r="268" spans="2:9" x14ac:dyDescent="0.25">
      <c r="B268" s="192"/>
      <c r="C268" s="281"/>
      <c r="D268" s="282"/>
      <c r="E268" s="40"/>
      <c r="F268" s="40"/>
      <c r="G268" s="40"/>
      <c r="H268" s="231"/>
      <c r="I268" s="199"/>
    </row>
    <row r="269" spans="2:9" x14ac:dyDescent="0.25">
      <c r="B269" s="192"/>
      <c r="C269" s="281"/>
      <c r="D269" s="282"/>
      <c r="E269" s="40"/>
      <c r="F269" s="40"/>
      <c r="G269" s="40"/>
      <c r="H269" s="231"/>
      <c r="I269" s="199"/>
    </row>
    <row r="270" spans="2:9" x14ac:dyDescent="0.25">
      <c r="B270" s="192"/>
      <c r="C270" s="281"/>
      <c r="D270" s="282"/>
      <c r="E270" s="40"/>
      <c r="F270" s="40"/>
      <c r="G270" s="40"/>
      <c r="H270" s="231"/>
      <c r="I270" s="199"/>
    </row>
    <row r="271" spans="2:9" x14ac:dyDescent="0.25">
      <c r="B271" s="192"/>
      <c r="C271" s="281"/>
      <c r="D271" s="282"/>
      <c r="E271" s="40"/>
      <c r="F271" s="40"/>
      <c r="G271" s="40"/>
      <c r="H271" s="231"/>
      <c r="I271" s="199"/>
    </row>
    <row r="272" spans="2:9" x14ac:dyDescent="0.25">
      <c r="B272" s="192"/>
      <c r="C272" s="281"/>
      <c r="D272" s="282"/>
      <c r="E272" s="40"/>
      <c r="F272" s="40"/>
      <c r="G272" s="40"/>
      <c r="H272" s="231"/>
      <c r="I272" s="199"/>
    </row>
    <row r="273" spans="2:9" x14ac:dyDescent="0.25">
      <c r="B273" s="192"/>
      <c r="C273" s="281"/>
      <c r="D273" s="282"/>
      <c r="E273" s="40"/>
      <c r="F273" s="40"/>
      <c r="G273" s="40"/>
      <c r="H273" s="231"/>
      <c r="I273" s="199"/>
    </row>
    <row r="274" spans="2:9" x14ac:dyDescent="0.25">
      <c r="B274" s="192"/>
      <c r="C274" s="281"/>
      <c r="D274" s="282"/>
      <c r="E274" s="40"/>
      <c r="F274" s="40"/>
      <c r="G274" s="40"/>
      <c r="H274" s="231"/>
      <c r="I274" s="199"/>
    </row>
    <row r="275" spans="2:9" x14ac:dyDescent="0.25">
      <c r="B275" s="192"/>
      <c r="C275" s="281"/>
      <c r="D275" s="282"/>
      <c r="E275" s="40"/>
      <c r="F275" s="40"/>
      <c r="G275" s="40"/>
      <c r="H275" s="231"/>
      <c r="I275" s="199"/>
    </row>
    <row r="276" spans="2:9" x14ac:dyDescent="0.25">
      <c r="B276" s="192"/>
      <c r="C276" s="281"/>
      <c r="D276" s="282"/>
      <c r="E276" s="40"/>
      <c r="F276" s="40"/>
      <c r="G276" s="40"/>
      <c r="H276" s="231"/>
      <c r="I276" s="199"/>
    </row>
    <row r="277" spans="2:9" x14ac:dyDescent="0.25">
      <c r="B277" s="192"/>
      <c r="C277" s="281"/>
      <c r="D277" s="282"/>
      <c r="E277" s="40"/>
      <c r="F277" s="40"/>
      <c r="G277" s="40"/>
      <c r="H277" s="231"/>
      <c r="I277" s="199"/>
    </row>
    <row r="278" spans="2:9" x14ac:dyDescent="0.25">
      <c r="B278" s="192"/>
      <c r="C278" s="281"/>
      <c r="D278" s="282"/>
      <c r="E278" s="40"/>
      <c r="F278" s="40"/>
      <c r="G278" s="40"/>
      <c r="H278" s="231"/>
      <c r="I278" s="199"/>
    </row>
    <row r="279" spans="2:9" x14ac:dyDescent="0.25">
      <c r="B279" s="192"/>
      <c r="C279" s="281"/>
      <c r="D279" s="282"/>
      <c r="E279" s="40"/>
      <c r="F279" s="40"/>
      <c r="G279" s="40"/>
      <c r="H279" s="231"/>
      <c r="I279" s="199"/>
    </row>
    <row r="280" spans="2:9" x14ac:dyDescent="0.25">
      <c r="B280" s="192"/>
      <c r="C280" s="281"/>
      <c r="D280" s="282"/>
      <c r="E280" s="40"/>
      <c r="F280" s="40"/>
      <c r="G280" s="40"/>
      <c r="H280" s="231"/>
      <c r="I280" s="199"/>
    </row>
    <row r="281" spans="2:9" x14ac:dyDescent="0.25">
      <c r="B281" s="192"/>
      <c r="C281" s="281"/>
      <c r="D281" s="282"/>
      <c r="E281" s="40"/>
      <c r="F281" s="40"/>
      <c r="G281" s="40"/>
      <c r="H281" s="231"/>
      <c r="I281" s="199"/>
    </row>
    <row r="282" spans="2:9" x14ac:dyDescent="0.25">
      <c r="B282" s="192"/>
      <c r="C282" s="281"/>
      <c r="D282" s="282"/>
      <c r="E282" s="40"/>
      <c r="F282" s="40"/>
      <c r="G282" s="40"/>
      <c r="H282" s="231"/>
      <c r="I282" s="199"/>
    </row>
    <row r="283" spans="2:9" x14ac:dyDescent="0.25">
      <c r="B283" s="192"/>
      <c r="C283" s="281"/>
      <c r="D283" s="282"/>
      <c r="E283" s="40"/>
      <c r="F283" s="40"/>
      <c r="G283" s="40"/>
      <c r="H283" s="231"/>
      <c r="I283" s="199"/>
    </row>
  </sheetData>
  <mergeCells count="2">
    <mergeCell ref="B47:B48"/>
    <mergeCell ref="A98:A99"/>
  </mergeCells>
  <conditionalFormatting sqref="Q12 F148 H137:H140 H179:H182 F179:F182 H148 H153:H166 F153:F166">
    <cfRule type="expression" dxfId="775" priority="74">
      <formula>F12&gt;0</formula>
    </cfRule>
    <cfRule type="expression" dxfId="77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773" priority="67">
      <formula>F124&gt;0</formula>
    </cfRule>
    <cfRule type="expression" dxfId="772" priority="68">
      <formula>F124&lt;0</formula>
    </cfRule>
  </conditionalFormatting>
  <conditionalFormatting sqref="H124:H130">
    <cfRule type="expression" dxfId="771" priority="55">
      <formula>H124&gt;0</formula>
    </cfRule>
    <cfRule type="expression" dxfId="770" priority="56">
      <formula>H124&lt;0</formula>
    </cfRule>
  </conditionalFormatting>
  <conditionalFormatting sqref="H131">
    <cfRule type="expression" dxfId="769" priority="53">
      <formula>H131&gt;0</formula>
    </cfRule>
    <cfRule type="expression" dxfId="768" priority="54">
      <formula>H131&lt;0</formula>
    </cfRule>
  </conditionalFormatting>
  <conditionalFormatting sqref="H132">
    <cfRule type="expression" dxfId="767" priority="51">
      <formula>H132&gt;0</formula>
    </cfRule>
    <cfRule type="expression" dxfId="766" priority="52">
      <formula>H132&lt;0</formula>
    </cfRule>
  </conditionalFormatting>
  <conditionalFormatting sqref="H133:H135">
    <cfRule type="expression" dxfId="765" priority="49">
      <formula>H133&gt;0</formula>
    </cfRule>
    <cfRule type="expression" dxfId="764" priority="50">
      <formula>H133&lt;0</formula>
    </cfRule>
  </conditionalFormatting>
  <conditionalFormatting sqref="H136">
    <cfRule type="expression" dxfId="763" priority="45">
      <formula>H136&gt;0</formula>
    </cfRule>
    <cfRule type="expression" dxfId="762" priority="46">
      <formula>H136&lt;0</formula>
    </cfRule>
  </conditionalFormatting>
  <conditionalFormatting sqref="Q7">
    <cfRule type="expression" dxfId="761" priority="39">
      <formula>Q7&gt;0</formula>
    </cfRule>
    <cfRule type="expression" dxfId="760" priority="40">
      <formula>Q7&lt;0</formula>
    </cfRule>
  </conditionalFormatting>
  <conditionalFormatting sqref="Q8">
    <cfRule type="expression" dxfId="759" priority="37">
      <formula>Q8&gt;0</formula>
    </cfRule>
    <cfRule type="expression" dxfId="758" priority="38">
      <formula>Q8&lt;0</formula>
    </cfRule>
  </conditionalFormatting>
  <conditionalFormatting sqref="F167:F178 H167:H178">
    <cfRule type="expression" dxfId="757" priority="35">
      <formula>F167&gt;0</formula>
    </cfRule>
    <cfRule type="expression" dxfId="756" priority="36">
      <formula>F167&lt;0</formula>
    </cfRule>
  </conditionalFormatting>
  <conditionalFormatting sqref="F183:F197 H183:H197">
    <cfRule type="expression" dxfId="755" priority="33">
      <formula>F183&gt;0</formula>
    </cfRule>
    <cfRule type="expression" dxfId="754" priority="34">
      <formula>F183&lt;0</formula>
    </cfRule>
  </conditionalFormatting>
  <conditionalFormatting sqref="F198:F206 H198:H206">
    <cfRule type="expression" dxfId="753" priority="31">
      <formula>F198&gt;0</formula>
    </cfRule>
    <cfRule type="expression" dxfId="752" priority="32">
      <formula>F198&lt;0</formula>
    </cfRule>
  </conditionalFormatting>
  <conditionalFormatting sqref="F141:F147 H141:H147">
    <cfRule type="expression" dxfId="751" priority="29">
      <formula>F141&gt;0</formula>
    </cfRule>
    <cfRule type="expression" dxfId="750" priority="30">
      <formula>F141&lt;0</formula>
    </cfRule>
  </conditionalFormatting>
  <conditionalFormatting sqref="H149:H152 F149:F152">
    <cfRule type="expression" dxfId="749" priority="27">
      <formula>F149&gt;0</formula>
    </cfRule>
    <cfRule type="expression" dxfId="748" priority="28">
      <formula>F149&lt;0</formula>
    </cfRule>
  </conditionalFormatting>
  <conditionalFormatting sqref="F226 H215:H218 H257:H260 F257:F260 H226 H231:H233 F231:F233 F235:F244 H235:H244">
    <cfRule type="expression" dxfId="747" priority="25">
      <formula>F215&gt;0</formula>
    </cfRule>
    <cfRule type="expression" dxfId="746" priority="26">
      <formula>F215&lt;0</formula>
    </cfRule>
  </conditionalFormatting>
  <conditionalFormatting sqref="F207:F218">
    <cfRule type="expression" dxfId="745" priority="23">
      <formula>F207&gt;0</formula>
    </cfRule>
    <cfRule type="expression" dxfId="744" priority="24">
      <formula>F207&lt;0</formula>
    </cfRule>
  </conditionalFormatting>
  <conditionalFormatting sqref="H207:H208">
    <cfRule type="expression" dxfId="743" priority="21">
      <formula>H207&gt;0</formula>
    </cfRule>
    <cfRule type="expression" dxfId="742" priority="22">
      <formula>H207&lt;0</formula>
    </cfRule>
  </conditionalFormatting>
  <conditionalFormatting sqref="H209">
    <cfRule type="expression" dxfId="741" priority="19">
      <formula>H209&gt;0</formula>
    </cfRule>
    <cfRule type="expression" dxfId="740" priority="20">
      <formula>H209&lt;0</formula>
    </cfRule>
  </conditionalFormatting>
  <conditionalFormatting sqref="H210">
    <cfRule type="expression" dxfId="739" priority="17">
      <formula>H210&gt;0</formula>
    </cfRule>
    <cfRule type="expression" dxfId="738" priority="18">
      <formula>H210&lt;0</formula>
    </cfRule>
  </conditionalFormatting>
  <conditionalFormatting sqref="H211:H213">
    <cfRule type="expression" dxfId="737" priority="15">
      <formula>H211&gt;0</formula>
    </cfRule>
    <cfRule type="expression" dxfId="736" priority="16">
      <formula>H211&lt;0</formula>
    </cfRule>
  </conditionalFormatting>
  <conditionalFormatting sqref="H214">
    <cfRule type="expression" dxfId="735" priority="13">
      <formula>H214&gt;0</formula>
    </cfRule>
    <cfRule type="expression" dxfId="734" priority="14">
      <formula>H214&lt;0</formula>
    </cfRule>
  </conditionalFormatting>
  <conditionalFormatting sqref="F245:F256 H245:H256">
    <cfRule type="expression" dxfId="733" priority="11">
      <formula>F245&gt;0</formula>
    </cfRule>
    <cfRule type="expression" dxfId="732" priority="12">
      <formula>F245&lt;0</formula>
    </cfRule>
  </conditionalFormatting>
  <conditionalFormatting sqref="F261:F275 H261:H275">
    <cfRule type="expression" dxfId="731" priority="9">
      <formula>F261&gt;0</formula>
    </cfRule>
    <cfRule type="expression" dxfId="730" priority="10">
      <formula>F261&lt;0</formula>
    </cfRule>
  </conditionalFormatting>
  <conditionalFormatting sqref="F276:F283 H276:H283">
    <cfRule type="expression" dxfId="729" priority="7">
      <formula>F276&gt;0</formula>
    </cfRule>
    <cfRule type="expression" dxfId="728" priority="8">
      <formula>F276&lt;0</formula>
    </cfRule>
  </conditionalFormatting>
  <conditionalFormatting sqref="F219:F225 H219:H225">
    <cfRule type="expression" dxfId="727" priority="5">
      <formula>F219&gt;0</formula>
    </cfRule>
    <cfRule type="expression" dxfId="726" priority="6">
      <formula>F219&lt;0</formula>
    </cfRule>
  </conditionalFormatting>
  <conditionalFormatting sqref="H227:H230 F227:F230">
    <cfRule type="expression" dxfId="725" priority="3">
      <formula>F227&gt;0</formula>
    </cfRule>
    <cfRule type="expression" dxfId="724" priority="4">
      <formula>F227&lt;0</formula>
    </cfRule>
  </conditionalFormatting>
  <conditionalFormatting sqref="H234 F234">
    <cfRule type="expression" dxfId="723" priority="1">
      <formula>F234&gt;0</formula>
    </cfRule>
    <cfRule type="expression" dxfId="72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324</v>
      </c>
      <c r="B2" s="501"/>
      <c r="C2" s="4"/>
      <c r="D2" s="3"/>
      <c r="E2" s="3"/>
      <c r="F2" s="3"/>
      <c r="G2" s="501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42797</v>
      </c>
      <c r="X2" s="10">
        <v>92.5</v>
      </c>
      <c r="Y2" s="10">
        <v>93.36</v>
      </c>
      <c r="Z2" s="10">
        <v>91.89</v>
      </c>
      <c r="AA2" s="10">
        <v>92.44</v>
      </c>
      <c r="AB2" s="94">
        <v>1977800</v>
      </c>
      <c r="AC2" s="10">
        <v>92.44</v>
      </c>
      <c r="AD2" s="2">
        <f>Y2-Z2</f>
        <v>1.4699999999999989</v>
      </c>
      <c r="AE2" s="137">
        <f>AC2/AC3-1</f>
        <v>-9.8543273350470972E-3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92.74</v>
      </c>
      <c r="T3" s="1"/>
      <c r="W3" s="132">
        <v>42796</v>
      </c>
      <c r="X3" s="10">
        <v>93.65</v>
      </c>
      <c r="Y3" s="10">
        <v>94.19</v>
      </c>
      <c r="Z3" s="10">
        <v>92.31</v>
      </c>
      <c r="AA3" s="10">
        <v>93.36</v>
      </c>
      <c r="AB3" s="94">
        <v>2725600</v>
      </c>
      <c r="AC3" s="10">
        <v>93.36</v>
      </c>
      <c r="AD3" s="2">
        <f t="shared" ref="AD3:AD66" si="0">Y3-Z3</f>
        <v>1.8799999999999955</v>
      </c>
      <c r="AE3" s="137">
        <f t="shared" ref="AE3:AE66" si="1">AC3/AC4-1</f>
        <v>-6.1741537151372983E-3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92.74</v>
      </c>
      <c r="R4" s="499">
        <v>-3.3999999999999998E-3</v>
      </c>
      <c r="T4" s="162"/>
      <c r="U4" s="1"/>
      <c r="W4" s="132">
        <v>42795</v>
      </c>
      <c r="X4" s="10">
        <v>94.55</v>
      </c>
      <c r="Y4" s="10">
        <v>94.93</v>
      </c>
      <c r="Z4" s="10">
        <v>91.8</v>
      </c>
      <c r="AA4" s="10">
        <v>93.94</v>
      </c>
      <c r="AB4" s="94">
        <v>3901800</v>
      </c>
      <c r="AC4" s="10">
        <v>93.94</v>
      </c>
      <c r="AD4" s="2">
        <f t="shared" si="0"/>
        <v>3.1300000000000097</v>
      </c>
      <c r="AE4" s="137">
        <f t="shared" si="1"/>
        <v>-1.0633772862612689E-3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94.52</v>
      </c>
      <c r="Y5" s="10">
        <v>94.59</v>
      </c>
      <c r="Z5" s="10">
        <v>93.62</v>
      </c>
      <c r="AA5" s="10">
        <v>94.04</v>
      </c>
      <c r="AB5" s="94">
        <v>1772000</v>
      </c>
      <c r="AC5" s="10">
        <v>94.04</v>
      </c>
      <c r="AD5" s="2">
        <f t="shared" si="0"/>
        <v>0.96999999999999886</v>
      </c>
      <c r="AE5" s="137">
        <f t="shared" si="1"/>
        <v>-6.5497570251424886E-3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94.68</v>
      </c>
      <c r="Y6" s="10">
        <v>95.29</v>
      </c>
      <c r="Z6" s="10">
        <v>93.78</v>
      </c>
      <c r="AA6" s="10">
        <v>94.66</v>
      </c>
      <c r="AB6" s="94">
        <v>1450700</v>
      </c>
      <c r="AC6" s="10">
        <v>94.66</v>
      </c>
      <c r="AD6" s="2">
        <f t="shared" si="0"/>
        <v>1.5100000000000051</v>
      </c>
      <c r="AE6" s="137">
        <f t="shared" si="1"/>
        <v>-1.0552975939215337E-3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720.56000000000131</v>
      </c>
      <c r="R7">
        <v>0</v>
      </c>
      <c r="W7" s="132">
        <v>42790</v>
      </c>
      <c r="X7" s="10">
        <v>94.68</v>
      </c>
      <c r="Y7" s="10">
        <v>95.02</v>
      </c>
      <c r="Z7" s="10">
        <v>94.12</v>
      </c>
      <c r="AA7" s="10">
        <v>94.76</v>
      </c>
      <c r="AB7" s="94">
        <v>1758000</v>
      </c>
      <c r="AC7" s="10">
        <v>94.76</v>
      </c>
      <c r="AD7" s="2">
        <f t="shared" si="0"/>
        <v>0.89999999999999147</v>
      </c>
      <c r="AE7" s="137">
        <f t="shared" si="1"/>
        <v>-9.822361546499403E-3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100.26</v>
      </c>
      <c r="Y8" s="10">
        <v>100.48</v>
      </c>
      <c r="Z8" s="10">
        <v>94.45</v>
      </c>
      <c r="AA8" s="10">
        <v>95.7</v>
      </c>
      <c r="AB8" s="94">
        <v>6230600</v>
      </c>
      <c r="AC8" s="10">
        <v>95.7</v>
      </c>
      <c r="AD8" s="2">
        <f t="shared" si="0"/>
        <v>6.0300000000000011</v>
      </c>
      <c r="AE8" s="137">
        <f t="shared" si="1"/>
        <v>3.7848389545602545E-2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92.39</v>
      </c>
      <c r="Y9" s="10">
        <v>92.66</v>
      </c>
      <c r="Z9" s="10">
        <v>91.9</v>
      </c>
      <c r="AA9" s="10">
        <v>92.21</v>
      </c>
      <c r="AB9" s="94">
        <v>2164200</v>
      </c>
      <c r="AC9" s="10">
        <v>92.21</v>
      </c>
      <c r="AD9" s="2">
        <f t="shared" si="0"/>
        <v>0.75999999999999091</v>
      </c>
      <c r="AE9" s="137">
        <f t="shared" si="1"/>
        <v>-4.9638502212151492E-3</v>
      </c>
    </row>
    <row r="10" spans="1:31" x14ac:dyDescent="0.25">
      <c r="G10" s="30"/>
      <c r="H10" s="71"/>
      <c r="O10" s="11" t="s">
        <v>212</v>
      </c>
      <c r="P10" s="34"/>
      <c r="Q10" s="2">
        <f>M71</f>
        <v>720.56000000000131</v>
      </c>
      <c r="W10" s="132">
        <v>42787</v>
      </c>
      <c r="X10" s="10">
        <v>93.49</v>
      </c>
      <c r="Y10" s="10">
        <v>94.29</v>
      </c>
      <c r="Z10" s="10">
        <v>92.24</v>
      </c>
      <c r="AA10" s="10">
        <v>92.67</v>
      </c>
      <c r="AB10" s="94">
        <v>3683200</v>
      </c>
      <c r="AC10" s="10">
        <v>92.67</v>
      </c>
      <c r="AD10" s="2">
        <f t="shared" si="0"/>
        <v>2.0500000000000114</v>
      </c>
      <c r="AE10" s="137">
        <f t="shared" si="1"/>
        <v>3.2649877423668539E-2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89.87</v>
      </c>
      <c r="Y11" s="10">
        <v>90.1</v>
      </c>
      <c r="Z11" s="10">
        <v>89.25</v>
      </c>
      <c r="AA11" s="10">
        <v>89.74</v>
      </c>
      <c r="AB11" s="94">
        <v>2437500</v>
      </c>
      <c r="AC11" s="10">
        <v>89.74</v>
      </c>
      <c r="AD11" s="2">
        <f t="shared" si="0"/>
        <v>0.84999999999999432</v>
      </c>
      <c r="AE11" s="137">
        <f t="shared" si="1"/>
        <v>-2.1127543645058644E-3</v>
      </c>
    </row>
    <row r="12" spans="1:31" x14ac:dyDescent="0.25">
      <c r="G12" s="30"/>
      <c r="H12" s="71"/>
      <c r="W12" s="132">
        <v>42782</v>
      </c>
      <c r="X12" s="10">
        <v>90.35</v>
      </c>
      <c r="Y12" s="10">
        <v>90.58</v>
      </c>
      <c r="Z12" s="10">
        <v>89.22</v>
      </c>
      <c r="AA12" s="10">
        <v>89.93</v>
      </c>
      <c r="AB12" s="94">
        <v>1724100</v>
      </c>
      <c r="AC12" s="10">
        <v>89.93</v>
      </c>
      <c r="AD12" s="2">
        <f t="shared" si="0"/>
        <v>1.3599999999999994</v>
      </c>
      <c r="AE12" s="137">
        <f t="shared" si="1"/>
        <v>-4.2077289336728274E-3</v>
      </c>
    </row>
    <row r="13" spans="1:31" x14ac:dyDescent="0.25">
      <c r="G13" s="30"/>
      <c r="H13" s="71"/>
      <c r="W13" s="132">
        <v>42781</v>
      </c>
      <c r="X13" s="10">
        <v>89.43</v>
      </c>
      <c r="Y13" s="10">
        <v>90.65</v>
      </c>
      <c r="Z13" s="10">
        <v>89.3</v>
      </c>
      <c r="AA13" s="10">
        <v>90.31</v>
      </c>
      <c r="AB13" s="94">
        <v>1664200</v>
      </c>
      <c r="AC13" s="10">
        <v>90.31</v>
      </c>
      <c r="AD13" s="2">
        <f t="shared" si="0"/>
        <v>1.3500000000000085</v>
      </c>
      <c r="AE13" s="137">
        <f t="shared" si="1"/>
        <v>9.1630349759750374E-3</v>
      </c>
    </row>
    <row r="14" spans="1:31" x14ac:dyDescent="0.25">
      <c r="G14" s="30"/>
      <c r="H14" s="71"/>
      <c r="W14" s="132">
        <v>42780</v>
      </c>
      <c r="X14" s="10">
        <v>89.79</v>
      </c>
      <c r="Y14" s="10">
        <v>90.28</v>
      </c>
      <c r="Z14" s="10">
        <v>89.23</v>
      </c>
      <c r="AA14" s="10">
        <v>89.49</v>
      </c>
      <c r="AB14" s="94">
        <v>1760600</v>
      </c>
      <c r="AC14" s="10">
        <v>89.49</v>
      </c>
      <c r="AD14" s="2">
        <f t="shared" si="0"/>
        <v>1.0499999999999972</v>
      </c>
      <c r="AE14" s="137">
        <f t="shared" si="1"/>
        <v>-5.2245442418852317E-3</v>
      </c>
    </row>
    <row r="15" spans="1:31" x14ac:dyDescent="0.25">
      <c r="G15" s="30"/>
      <c r="H15" s="71"/>
      <c r="W15" s="132">
        <v>42779</v>
      </c>
      <c r="X15" s="10">
        <v>90.11</v>
      </c>
      <c r="Y15" s="10">
        <v>90.5</v>
      </c>
      <c r="Z15" s="10">
        <v>89.52</v>
      </c>
      <c r="AA15" s="10">
        <v>89.96</v>
      </c>
      <c r="AB15" s="94">
        <v>2138100</v>
      </c>
      <c r="AC15" s="10">
        <v>89.96</v>
      </c>
      <c r="AD15" s="2">
        <f t="shared" si="0"/>
        <v>0.98000000000000398</v>
      </c>
      <c r="AE15" s="137">
        <f t="shared" si="1"/>
        <v>-4.2063316360417824E-3</v>
      </c>
    </row>
    <row r="16" spans="1:31" x14ac:dyDescent="0.25">
      <c r="G16" s="30"/>
      <c r="H16" s="71"/>
      <c r="W16" s="132">
        <v>42776</v>
      </c>
      <c r="X16" s="10">
        <v>90.73</v>
      </c>
      <c r="Y16" s="10">
        <v>90.79</v>
      </c>
      <c r="Z16" s="10">
        <v>89.89</v>
      </c>
      <c r="AA16" s="10">
        <v>90.34</v>
      </c>
      <c r="AB16" s="94">
        <v>2225600</v>
      </c>
      <c r="AC16" s="10">
        <v>90.34</v>
      </c>
      <c r="AD16" s="2">
        <f t="shared" si="0"/>
        <v>0.90000000000000568</v>
      </c>
      <c r="AE16" s="137">
        <f t="shared" si="1"/>
        <v>-5.285179475886248E-3</v>
      </c>
    </row>
    <row r="17" spans="1:31" x14ac:dyDescent="0.25">
      <c r="G17" s="30"/>
      <c r="W17" s="132">
        <v>42775</v>
      </c>
      <c r="X17" s="10">
        <v>90.83</v>
      </c>
      <c r="Y17" s="10">
        <v>91.19</v>
      </c>
      <c r="Z17" s="10">
        <v>90.14</v>
      </c>
      <c r="AA17" s="10">
        <v>90.82</v>
      </c>
      <c r="AB17" s="94">
        <v>1335800</v>
      </c>
      <c r="AC17" s="10">
        <v>90.82</v>
      </c>
      <c r="AD17" s="2">
        <f t="shared" si="0"/>
        <v>1.0499999999999972</v>
      </c>
      <c r="AE17" s="137">
        <f t="shared" si="1"/>
        <v>-1.1009578333154302E-4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90.45</v>
      </c>
      <c r="Y18" s="10">
        <v>91.1</v>
      </c>
      <c r="Z18" s="10">
        <v>90.31</v>
      </c>
      <c r="AA18" s="10">
        <v>90.83</v>
      </c>
      <c r="AB18" s="94">
        <v>1778800</v>
      </c>
      <c r="AC18" s="10">
        <v>90.83</v>
      </c>
      <c r="AD18" s="2">
        <f t="shared" si="0"/>
        <v>0.78999999999999204</v>
      </c>
      <c r="AE18" s="137">
        <f t="shared" si="1"/>
        <v>1.3228971447469817E-3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90.16</v>
      </c>
      <c r="Y19" s="10">
        <v>90.99</v>
      </c>
      <c r="Z19" s="10">
        <v>89.87</v>
      </c>
      <c r="AA19" s="10">
        <v>90.71</v>
      </c>
      <c r="AB19" s="94">
        <v>2418000</v>
      </c>
      <c r="AC19" s="10">
        <v>90.71</v>
      </c>
      <c r="AD19" s="2">
        <f t="shared" si="0"/>
        <v>1.1199999999999903</v>
      </c>
      <c r="AE19" s="137">
        <f t="shared" si="1"/>
        <v>9.3468343162343981E-3</v>
      </c>
    </row>
    <row r="20" spans="1:31" x14ac:dyDescent="0.25">
      <c r="W20" s="132">
        <v>42772</v>
      </c>
      <c r="X20" s="10">
        <v>90.58</v>
      </c>
      <c r="Y20" s="10">
        <v>90.69</v>
      </c>
      <c r="Z20" s="10">
        <v>88.67</v>
      </c>
      <c r="AA20" s="10">
        <v>89.87</v>
      </c>
      <c r="AB20" s="94">
        <v>3389500</v>
      </c>
      <c r="AC20" s="10">
        <v>89.87</v>
      </c>
      <c r="AD20" s="2">
        <f t="shared" si="0"/>
        <v>2.019999999999996</v>
      </c>
      <c r="AE20" s="137">
        <f t="shared" si="1"/>
        <v>-6.6320327180280358E-3</v>
      </c>
    </row>
    <row r="21" spans="1:31" x14ac:dyDescent="0.25">
      <c r="W21" s="132">
        <v>42769</v>
      </c>
      <c r="X21" s="10">
        <v>90.42</v>
      </c>
      <c r="Y21" s="10">
        <v>91.4</v>
      </c>
      <c r="Z21" s="10">
        <v>89.51</v>
      </c>
      <c r="AA21" s="10">
        <v>90.47</v>
      </c>
      <c r="AB21" s="94">
        <v>4593200</v>
      </c>
      <c r="AC21" s="10">
        <v>90.47</v>
      </c>
      <c r="AD21" s="2">
        <f t="shared" si="0"/>
        <v>1.8900000000000006</v>
      </c>
      <c r="AE21" s="137">
        <f t="shared" si="1"/>
        <v>8.2469631115569264E-3</v>
      </c>
    </row>
    <row r="22" spans="1:31" x14ac:dyDescent="0.25">
      <c r="W22" s="132">
        <v>42768</v>
      </c>
      <c r="X22" s="10">
        <v>92.16</v>
      </c>
      <c r="Y22" s="10">
        <v>92.19</v>
      </c>
      <c r="Z22" s="10">
        <v>86.55</v>
      </c>
      <c r="AA22" s="10">
        <v>89.73</v>
      </c>
      <c r="AB22" s="94">
        <v>8891900</v>
      </c>
      <c r="AC22" s="10">
        <v>89.73</v>
      </c>
      <c r="AD22" s="2">
        <f t="shared" si="0"/>
        <v>5.6400000000000006</v>
      </c>
      <c r="AE22" s="137">
        <f t="shared" si="1"/>
        <v>-8.4574576617016839E-2</v>
      </c>
    </row>
    <row r="23" spans="1:31" x14ac:dyDescent="0.25">
      <c r="W23" s="132">
        <v>42767</v>
      </c>
      <c r="X23" s="10">
        <v>96.51</v>
      </c>
      <c r="Y23" s="10">
        <v>98.38</v>
      </c>
      <c r="Z23" s="10">
        <v>96.11</v>
      </c>
      <c r="AA23" s="10">
        <v>98.02</v>
      </c>
      <c r="AB23" s="94">
        <v>3003400</v>
      </c>
      <c r="AC23" s="10">
        <v>98.02</v>
      </c>
      <c r="AD23" s="2">
        <f t="shared" si="0"/>
        <v>2.269999999999996</v>
      </c>
      <c r="AE23" s="137">
        <f t="shared" si="1"/>
        <v>1.849542809642557E-2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42766</v>
      </c>
      <c r="X24" s="10">
        <v>96.39</v>
      </c>
      <c r="Y24" s="10">
        <v>96.9</v>
      </c>
      <c r="Z24" s="10">
        <v>95.25</v>
      </c>
      <c r="AA24" s="10">
        <v>96.24</v>
      </c>
      <c r="AB24" s="94">
        <v>3703300</v>
      </c>
      <c r="AC24" s="10">
        <v>96.24</v>
      </c>
      <c r="AD24" s="2">
        <f t="shared" si="0"/>
        <v>1.6500000000000057</v>
      </c>
      <c r="AE24" s="137">
        <f t="shared" si="1"/>
        <v>-2.3841608790298174E-3</v>
      </c>
    </row>
    <row r="25" spans="1:31" x14ac:dyDescent="0.25">
      <c r="B25" s="156"/>
      <c r="C25" s="10"/>
      <c r="D25" s="40"/>
      <c r="E25" s="40"/>
      <c r="F25" s="40"/>
      <c r="G25" s="40"/>
      <c r="H25" s="230"/>
      <c r="I25" s="40"/>
      <c r="J25" s="40"/>
      <c r="W25" s="132">
        <v>42765</v>
      </c>
      <c r="X25" s="10">
        <v>97.07</v>
      </c>
      <c r="Y25" s="10">
        <v>97.23</v>
      </c>
      <c r="Z25" s="10">
        <v>95.49</v>
      </c>
      <c r="AA25" s="10">
        <v>96.47</v>
      </c>
      <c r="AB25" s="94">
        <v>1185600</v>
      </c>
      <c r="AC25" s="10">
        <v>96.47</v>
      </c>
      <c r="AD25" s="2">
        <f t="shared" si="0"/>
        <v>1.7400000000000091</v>
      </c>
      <c r="AE25" s="137">
        <f t="shared" si="1"/>
        <v>-8.5303186022610555E-3</v>
      </c>
    </row>
    <row r="26" spans="1:31" x14ac:dyDescent="0.25">
      <c r="B26" s="156"/>
      <c r="C26" s="10"/>
      <c r="D26" s="40"/>
      <c r="E26" s="40"/>
      <c r="F26" s="40"/>
      <c r="G26" s="40"/>
      <c r="H26" s="230"/>
      <c r="I26" s="40"/>
      <c r="J26" s="40"/>
      <c r="W26" s="132">
        <v>42762</v>
      </c>
      <c r="X26" s="10">
        <v>95.67</v>
      </c>
      <c r="Y26" s="10">
        <v>97.34</v>
      </c>
      <c r="Z26" s="10">
        <v>95.53</v>
      </c>
      <c r="AA26" s="10">
        <v>97.3</v>
      </c>
      <c r="AB26" s="94">
        <v>1602100</v>
      </c>
      <c r="AC26" s="10">
        <v>97.3</v>
      </c>
      <c r="AD26" s="2">
        <f t="shared" si="0"/>
        <v>1.8100000000000023</v>
      </c>
      <c r="AE26" s="137">
        <f t="shared" si="1"/>
        <v>2.2810890360559277E-2</v>
      </c>
    </row>
    <row r="27" spans="1:31" x14ac:dyDescent="0.25">
      <c r="B27" s="156"/>
      <c r="C27" s="10"/>
      <c r="D27" s="40"/>
      <c r="E27" s="40"/>
      <c r="F27" s="40"/>
      <c r="G27" s="40"/>
      <c r="H27" s="230"/>
      <c r="I27" s="40"/>
      <c r="J27" s="40"/>
      <c r="W27" s="132">
        <v>42761</v>
      </c>
      <c r="X27" s="10">
        <v>96.2</v>
      </c>
      <c r="Y27" s="10">
        <v>96.89</v>
      </c>
      <c r="Z27" s="10">
        <v>94.97</v>
      </c>
      <c r="AA27" s="10">
        <v>95.13</v>
      </c>
      <c r="AB27" s="94">
        <v>1627900</v>
      </c>
      <c r="AC27" s="10">
        <v>95.13</v>
      </c>
      <c r="AD27" s="2">
        <f t="shared" si="0"/>
        <v>1.9200000000000017</v>
      </c>
      <c r="AE27" s="137">
        <f t="shared" si="1"/>
        <v>-9.578344612181211E-3</v>
      </c>
    </row>
    <row r="28" spans="1:31" x14ac:dyDescent="0.25">
      <c r="B28" s="156"/>
      <c r="C28" s="10"/>
      <c r="D28" s="40"/>
      <c r="E28" s="40"/>
      <c r="F28" s="40"/>
      <c r="G28" s="40"/>
      <c r="H28" s="230"/>
      <c r="I28" s="40"/>
      <c r="J28" s="40"/>
      <c r="W28" s="132">
        <v>42760</v>
      </c>
      <c r="X28" s="10">
        <v>94.76</v>
      </c>
      <c r="Y28" s="10">
        <v>96.39</v>
      </c>
      <c r="Z28" s="10">
        <v>94.67</v>
      </c>
      <c r="AA28" s="10">
        <v>96.05</v>
      </c>
      <c r="AB28" s="94">
        <v>1517000</v>
      </c>
      <c r="AC28" s="10">
        <v>96.05</v>
      </c>
      <c r="AD28" s="2">
        <f t="shared" si="0"/>
        <v>1.7199999999999989</v>
      </c>
      <c r="AE28" s="137">
        <f t="shared" si="1"/>
        <v>1.7478813559322015E-2</v>
      </c>
    </row>
    <row r="29" spans="1:31" x14ac:dyDescent="0.25">
      <c r="B29" s="156"/>
      <c r="C29" s="10"/>
      <c r="D29" s="40"/>
      <c r="E29" s="40"/>
      <c r="F29" s="40"/>
      <c r="G29" s="40"/>
      <c r="H29" s="230"/>
      <c r="I29" s="40"/>
      <c r="J29" s="40"/>
      <c r="W29" s="132">
        <v>42759</v>
      </c>
      <c r="X29" s="10">
        <v>95.3</v>
      </c>
      <c r="Y29" s="10">
        <v>95.44</v>
      </c>
      <c r="Z29" s="10">
        <v>93.79</v>
      </c>
      <c r="AA29" s="10">
        <v>94.4</v>
      </c>
      <c r="AB29" s="94">
        <v>1630000</v>
      </c>
      <c r="AC29" s="10">
        <v>94.4</v>
      </c>
      <c r="AD29" s="2">
        <f t="shared" si="0"/>
        <v>1.6499999999999915</v>
      </c>
      <c r="AE29" s="137">
        <f t="shared" si="1"/>
        <v>-6.3157894736841635E-3</v>
      </c>
    </row>
    <row r="30" spans="1:31" x14ac:dyDescent="0.25">
      <c r="B30" s="156"/>
      <c r="C30" s="10"/>
      <c r="D30" s="40"/>
      <c r="E30" s="40"/>
      <c r="F30" s="40"/>
      <c r="G30" s="40"/>
      <c r="H30" s="230"/>
      <c r="I30" s="40"/>
      <c r="J30" s="40"/>
      <c r="W30" s="132">
        <v>42758</v>
      </c>
      <c r="X30" s="10">
        <v>95.5</v>
      </c>
      <c r="Y30" s="10">
        <v>95.6</v>
      </c>
      <c r="Z30" s="10">
        <v>94.27</v>
      </c>
      <c r="AA30" s="10">
        <v>95</v>
      </c>
      <c r="AB30" s="94">
        <v>1109600</v>
      </c>
      <c r="AC30" s="10">
        <v>95</v>
      </c>
      <c r="AD30" s="2">
        <f t="shared" si="0"/>
        <v>1.3299999999999983</v>
      </c>
      <c r="AE30" s="137">
        <f t="shared" si="1"/>
        <v>-5.3397549994765869E-3</v>
      </c>
    </row>
    <row r="31" spans="1:31" x14ac:dyDescent="0.25">
      <c r="B31" s="156"/>
      <c r="C31" s="10"/>
      <c r="D31" s="40"/>
      <c r="E31" s="40"/>
      <c r="F31" s="40"/>
      <c r="G31" s="40"/>
      <c r="H31" s="230"/>
      <c r="I31" s="40"/>
      <c r="J31" s="40"/>
      <c r="W31" s="132">
        <v>42755</v>
      </c>
      <c r="X31" s="10">
        <v>96.03</v>
      </c>
      <c r="Y31" s="10">
        <v>96.93</v>
      </c>
      <c r="Z31" s="10">
        <v>95.02</v>
      </c>
      <c r="AA31" s="10">
        <v>95.51</v>
      </c>
      <c r="AB31" s="94">
        <v>1143300</v>
      </c>
      <c r="AC31" s="10">
        <v>95.51</v>
      </c>
      <c r="AD31" s="2">
        <f t="shared" si="0"/>
        <v>1.9100000000000108</v>
      </c>
      <c r="AE31" s="137">
        <f t="shared" si="1"/>
        <v>-8.1005296500156199E-3</v>
      </c>
    </row>
    <row r="32" spans="1:31" x14ac:dyDescent="0.25">
      <c r="B32" s="156"/>
      <c r="C32" s="10"/>
      <c r="D32" s="40"/>
      <c r="E32" s="40"/>
      <c r="F32" s="40"/>
      <c r="G32" s="40"/>
      <c r="H32" s="230"/>
      <c r="I32" s="40"/>
      <c r="J32" s="40"/>
      <c r="W32" s="132">
        <v>42754</v>
      </c>
      <c r="X32" s="10">
        <v>95.92</v>
      </c>
      <c r="Y32" s="10">
        <v>96.72</v>
      </c>
      <c r="Z32" s="10">
        <v>94.85</v>
      </c>
      <c r="AA32" s="10">
        <v>96.29</v>
      </c>
      <c r="AB32" s="94">
        <v>2058800</v>
      </c>
      <c r="AC32" s="10">
        <v>96.29</v>
      </c>
      <c r="AD32" s="2">
        <f t="shared" si="0"/>
        <v>1.8700000000000045</v>
      </c>
      <c r="AE32" s="137">
        <f t="shared" si="1"/>
        <v>5.2197515398266781E-3</v>
      </c>
    </row>
    <row r="33" spans="2:31" x14ac:dyDescent="0.25">
      <c r="B33" s="156"/>
      <c r="C33" s="10"/>
      <c r="D33" s="40"/>
      <c r="E33" s="40"/>
      <c r="F33" s="40"/>
      <c r="G33" s="40"/>
      <c r="H33" s="230"/>
      <c r="I33" s="235"/>
      <c r="J33" s="235"/>
      <c r="W33" s="132">
        <v>42753</v>
      </c>
      <c r="X33" s="10">
        <v>97.2</v>
      </c>
      <c r="Y33" s="10">
        <v>97.4</v>
      </c>
      <c r="Z33" s="10">
        <v>95.69</v>
      </c>
      <c r="AA33" s="10">
        <v>95.79</v>
      </c>
      <c r="AB33" s="94">
        <v>1451000</v>
      </c>
      <c r="AC33" s="10">
        <v>95.79</v>
      </c>
      <c r="AD33" s="2">
        <f t="shared" si="0"/>
        <v>1.710000000000008</v>
      </c>
      <c r="AE33" s="137">
        <f t="shared" si="1"/>
        <v>-1.1251032204789291E-2</v>
      </c>
    </row>
    <row r="34" spans="2:31" x14ac:dyDescent="0.25">
      <c r="B34" s="156"/>
      <c r="C34" s="10"/>
      <c r="D34" s="40"/>
      <c r="E34" s="40"/>
      <c r="F34" s="40"/>
      <c r="G34" s="40"/>
      <c r="H34" s="230"/>
      <c r="I34" s="40"/>
      <c r="J34" s="40"/>
      <c r="W34" s="132">
        <v>42752</v>
      </c>
      <c r="X34" s="10">
        <v>96.49</v>
      </c>
      <c r="Y34" s="10">
        <v>97.4</v>
      </c>
      <c r="Z34" s="10">
        <v>96.01</v>
      </c>
      <c r="AA34" s="10">
        <v>96.88</v>
      </c>
      <c r="AB34" s="94">
        <v>1525500</v>
      </c>
      <c r="AC34" s="10">
        <v>96.88</v>
      </c>
      <c r="AD34" s="2">
        <f t="shared" si="0"/>
        <v>1.3900000000000006</v>
      </c>
      <c r="AE34" s="137">
        <f t="shared" si="1"/>
        <v>-2.5738700710388196E-3</v>
      </c>
    </row>
    <row r="35" spans="2:31" x14ac:dyDescent="0.25">
      <c r="B35" s="156"/>
      <c r="C35" s="10"/>
      <c r="D35" s="40"/>
      <c r="E35" s="40"/>
      <c r="F35" s="40"/>
      <c r="G35" s="40"/>
      <c r="H35" s="230"/>
      <c r="I35" s="40"/>
      <c r="J35" s="40"/>
      <c r="W35" s="132">
        <v>42748</v>
      </c>
      <c r="X35" s="10">
        <v>97.96</v>
      </c>
      <c r="Y35" s="10">
        <v>97.96</v>
      </c>
      <c r="Z35" s="10">
        <v>96.16</v>
      </c>
      <c r="AA35" s="10">
        <v>97.13</v>
      </c>
      <c r="AB35" s="94">
        <v>1806800</v>
      </c>
      <c r="AC35" s="10">
        <v>97.13</v>
      </c>
      <c r="AD35" s="2">
        <f t="shared" si="0"/>
        <v>1.7999999999999972</v>
      </c>
      <c r="AE35" s="137">
        <f t="shared" si="1"/>
        <v>-4.7135977046829369E-3</v>
      </c>
    </row>
    <row r="36" spans="2:31" x14ac:dyDescent="0.25">
      <c r="B36" s="156"/>
      <c r="C36" s="10"/>
      <c r="D36" s="40"/>
      <c r="E36" s="40"/>
      <c r="F36" s="40"/>
      <c r="G36" s="40"/>
      <c r="H36" s="230"/>
      <c r="I36" s="40"/>
      <c r="J36" s="40"/>
      <c r="W36" s="132">
        <v>42747</v>
      </c>
      <c r="X36" s="10">
        <v>97.69</v>
      </c>
      <c r="Y36" s="10">
        <v>97.9</v>
      </c>
      <c r="Z36" s="10">
        <v>96.5</v>
      </c>
      <c r="AA36" s="10">
        <v>97.59</v>
      </c>
      <c r="AB36" s="94">
        <v>1411400</v>
      </c>
      <c r="AC36" s="10">
        <v>97.59</v>
      </c>
      <c r="AD36" s="2">
        <f t="shared" si="0"/>
        <v>1.4000000000000057</v>
      </c>
      <c r="AE36" s="137">
        <f t="shared" si="1"/>
        <v>-1.0745058286872777E-2</v>
      </c>
    </row>
    <row r="37" spans="2:31" x14ac:dyDescent="0.25">
      <c r="B37" s="156"/>
      <c r="C37" s="10"/>
      <c r="D37" s="40"/>
      <c r="E37" s="40"/>
      <c r="F37" s="40"/>
      <c r="G37" s="40"/>
      <c r="H37" s="230"/>
      <c r="I37" s="40"/>
      <c r="J37" s="40"/>
      <c r="W37" s="132">
        <v>42746</v>
      </c>
      <c r="X37" s="10">
        <v>99.26</v>
      </c>
      <c r="Y37" s="10">
        <v>99.35</v>
      </c>
      <c r="Z37" s="10">
        <v>97.04</v>
      </c>
      <c r="AA37" s="10">
        <v>98.65</v>
      </c>
      <c r="AB37" s="94">
        <v>1488800</v>
      </c>
      <c r="AC37" s="10">
        <v>98.65</v>
      </c>
      <c r="AD37" s="2">
        <f t="shared" si="0"/>
        <v>2.3099999999999881</v>
      </c>
      <c r="AE37" s="137">
        <f t="shared" si="1"/>
        <v>-4.942505547710252E-3</v>
      </c>
    </row>
    <row r="38" spans="2:31" x14ac:dyDescent="0.25">
      <c r="B38" s="156"/>
      <c r="C38" s="10"/>
      <c r="D38" s="40"/>
      <c r="E38" s="40"/>
      <c r="F38" s="40"/>
      <c r="G38" s="40"/>
      <c r="H38" s="230"/>
      <c r="I38" s="40"/>
      <c r="J38" s="40"/>
      <c r="W38" s="132">
        <v>42745</v>
      </c>
      <c r="X38" s="10">
        <v>97.96</v>
      </c>
      <c r="Y38" s="10">
        <v>99.7</v>
      </c>
      <c r="Z38" s="10">
        <v>97.95</v>
      </c>
      <c r="AA38" s="10">
        <v>99.14</v>
      </c>
      <c r="AB38" s="94">
        <v>1907400</v>
      </c>
      <c r="AC38" s="10">
        <v>99.14</v>
      </c>
      <c r="AD38" s="2">
        <f t="shared" si="0"/>
        <v>1.75</v>
      </c>
      <c r="AE38" s="137">
        <f t="shared" si="1"/>
        <v>1.2149055640632955E-2</v>
      </c>
    </row>
    <row r="39" spans="2:31" x14ac:dyDescent="0.25">
      <c r="B39" s="156"/>
      <c r="C39" s="10"/>
      <c r="D39" s="40"/>
      <c r="E39" s="40"/>
      <c r="F39" s="40"/>
      <c r="G39" s="40"/>
      <c r="H39" s="230"/>
      <c r="I39" s="40"/>
      <c r="J39" s="40"/>
      <c r="W39" s="132">
        <v>42744</v>
      </c>
      <c r="X39" s="10">
        <v>97.57</v>
      </c>
      <c r="Y39" s="10">
        <v>98.63</v>
      </c>
      <c r="Z39" s="10">
        <v>97.33</v>
      </c>
      <c r="AA39" s="10">
        <v>97.95</v>
      </c>
      <c r="AB39" s="94">
        <v>1687800</v>
      </c>
      <c r="AC39" s="10">
        <v>97.95</v>
      </c>
      <c r="AD39" s="2">
        <f t="shared" si="0"/>
        <v>1.2999999999999972</v>
      </c>
      <c r="AE39" s="137">
        <f t="shared" si="1"/>
        <v>9.0656227464718242E-3</v>
      </c>
    </row>
    <row r="40" spans="2:31" ht="20.25" thickBot="1" x14ac:dyDescent="0.35">
      <c r="B40" s="156"/>
      <c r="C40" s="10"/>
      <c r="D40" s="40"/>
      <c r="E40" s="40"/>
      <c r="F40" s="40"/>
      <c r="G40" s="40"/>
      <c r="H40" s="230"/>
      <c r="I40" s="40"/>
      <c r="J40" s="40"/>
      <c r="O40" s="703" t="s">
        <v>78</v>
      </c>
      <c r="P40" s="703"/>
      <c r="W40" s="132">
        <v>42741</v>
      </c>
      <c r="X40" s="10">
        <v>97.4</v>
      </c>
      <c r="Y40" s="10">
        <v>97.88</v>
      </c>
      <c r="Z40" s="10">
        <v>96.43</v>
      </c>
      <c r="AA40" s="10">
        <v>97.07</v>
      </c>
      <c r="AB40" s="94">
        <v>2974400</v>
      </c>
      <c r="AC40" s="10">
        <v>97.07</v>
      </c>
      <c r="AD40" s="2">
        <f t="shared" si="0"/>
        <v>1.4499999999999886</v>
      </c>
      <c r="AE40" s="137">
        <f t="shared" si="1"/>
        <v>-1.2346949274617547E-3</v>
      </c>
    </row>
    <row r="41" spans="2:31" ht="15.75" thickTop="1" x14ac:dyDescent="0.25">
      <c r="B41" s="156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102.014</v>
      </c>
      <c r="Q41" s="2"/>
      <c r="W41" s="132">
        <v>42740</v>
      </c>
      <c r="X41" s="10">
        <v>96.91</v>
      </c>
      <c r="Y41" s="10">
        <v>97.91</v>
      </c>
      <c r="Z41" s="10">
        <v>96.61</v>
      </c>
      <c r="AA41" s="10">
        <v>97.19</v>
      </c>
      <c r="AB41" s="94">
        <v>1534300</v>
      </c>
      <c r="AC41" s="10">
        <v>97.19</v>
      </c>
      <c r="AD41" s="2">
        <f t="shared" si="0"/>
        <v>1.2999999999999972</v>
      </c>
      <c r="AE41" s="137">
        <f t="shared" si="1"/>
        <v>6.7329604309094293E-3</v>
      </c>
    </row>
    <row r="42" spans="2:31" ht="20.25" thickBot="1" x14ac:dyDescent="0.35">
      <c r="B42" s="156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2">O42*$Q$4</f>
        <v>101.0866</v>
      </c>
      <c r="Q42" s="2"/>
      <c r="T42" s="90" t="s">
        <v>113</v>
      </c>
      <c r="W42" s="132">
        <v>42739</v>
      </c>
      <c r="X42" s="10">
        <v>95.52</v>
      </c>
      <c r="Y42" s="10">
        <v>97.29</v>
      </c>
      <c r="Z42" s="10">
        <v>94.88</v>
      </c>
      <c r="AA42" s="10">
        <v>96.54</v>
      </c>
      <c r="AB42" s="94">
        <v>2051600</v>
      </c>
      <c r="AC42" s="10">
        <v>96.54</v>
      </c>
      <c r="AD42" s="2">
        <f t="shared" si="0"/>
        <v>2.4100000000000108</v>
      </c>
      <c r="AE42" s="137">
        <f t="shared" si="1"/>
        <v>1.0678391959799027E-2</v>
      </c>
    </row>
    <row r="43" spans="2:31" ht="15.75" thickTop="1" x14ac:dyDescent="0.25">
      <c r="B43" s="156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2"/>
        <v>100.1592</v>
      </c>
      <c r="Q43" s="2"/>
      <c r="T43" s="127" t="s">
        <v>98</v>
      </c>
      <c r="U43" s="128">
        <v>93.36</v>
      </c>
      <c r="W43" s="132">
        <v>42738</v>
      </c>
      <c r="X43" s="10">
        <v>93.8</v>
      </c>
      <c r="Y43" s="10">
        <v>95.52</v>
      </c>
      <c r="Z43" s="10">
        <v>93.06</v>
      </c>
      <c r="AA43" s="10">
        <v>95.52</v>
      </c>
      <c r="AB43" s="94">
        <v>2166100</v>
      </c>
      <c r="AC43" s="10">
        <v>95.52</v>
      </c>
      <c r="AD43" s="2">
        <f t="shared" si="0"/>
        <v>2.4599999999999937</v>
      </c>
      <c r="AE43" s="137">
        <f t="shared" si="1"/>
        <v>1.9423692636072465E-2</v>
      </c>
    </row>
    <row r="44" spans="2:31" x14ac:dyDescent="0.25">
      <c r="B44" s="156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2"/>
        <v>99.231800000000007</v>
      </c>
      <c r="Q44" s="2"/>
      <c r="T44" s="92" t="s">
        <v>99</v>
      </c>
      <c r="U44" s="129">
        <v>92.5</v>
      </c>
      <c r="W44" s="132">
        <v>42734</v>
      </c>
      <c r="X44" s="10">
        <v>93.89</v>
      </c>
      <c r="Y44" s="10">
        <v>94.58</v>
      </c>
      <c r="Z44" s="10">
        <v>93.35</v>
      </c>
      <c r="AA44" s="10">
        <v>93.7</v>
      </c>
      <c r="AB44" s="94">
        <v>1397500</v>
      </c>
      <c r="AC44" s="10">
        <v>93.7</v>
      </c>
      <c r="AD44" s="2">
        <f t="shared" si="0"/>
        <v>1.230000000000004</v>
      </c>
      <c r="AE44" s="137">
        <f t="shared" si="1"/>
        <v>-1.0671219720403968E-4</v>
      </c>
    </row>
    <row r="45" spans="2:31" x14ac:dyDescent="0.25">
      <c r="B45" s="156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2"/>
        <v>98.304400000000001</v>
      </c>
      <c r="Q45" s="2"/>
      <c r="T45" s="92" t="s">
        <v>100</v>
      </c>
      <c r="U45" s="129" t="s">
        <v>129</v>
      </c>
      <c r="W45" s="132">
        <v>42733</v>
      </c>
      <c r="X45" s="10">
        <v>92.71</v>
      </c>
      <c r="Y45" s="10">
        <v>94.11</v>
      </c>
      <c r="Z45" s="10">
        <v>92.67</v>
      </c>
      <c r="AA45" s="10">
        <v>93.71</v>
      </c>
      <c r="AB45" s="94">
        <v>1330200</v>
      </c>
      <c r="AC45" s="10">
        <v>93.71</v>
      </c>
      <c r="AD45" s="2">
        <f t="shared" si="0"/>
        <v>1.4399999999999977</v>
      </c>
      <c r="AE45" s="137">
        <f t="shared" si="1"/>
        <v>1.0786322942508919E-2</v>
      </c>
    </row>
    <row r="46" spans="2:31" x14ac:dyDescent="0.25">
      <c r="B46" s="156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2"/>
        <v>97.376999999999995</v>
      </c>
      <c r="Q46" s="2"/>
      <c r="T46" s="92" t="s">
        <v>101</v>
      </c>
      <c r="U46" s="129" t="s">
        <v>129</v>
      </c>
      <c r="W46" s="132">
        <v>42732</v>
      </c>
      <c r="X46" s="10">
        <v>93.2</v>
      </c>
      <c r="Y46" s="10">
        <v>93.83</v>
      </c>
      <c r="Z46" s="10">
        <v>92.17</v>
      </c>
      <c r="AA46" s="10">
        <v>92.71</v>
      </c>
      <c r="AB46" s="94">
        <v>1606500</v>
      </c>
      <c r="AC46" s="10">
        <v>92.71</v>
      </c>
      <c r="AD46" s="2">
        <f t="shared" si="0"/>
        <v>1.6599999999999966</v>
      </c>
      <c r="AE46" s="137">
        <f t="shared" si="1"/>
        <v>-6.8559185859667915E-3</v>
      </c>
    </row>
    <row r="47" spans="2:31" x14ac:dyDescent="0.25">
      <c r="B47" s="156"/>
      <c r="C47" s="10"/>
      <c r="D47" s="40"/>
      <c r="E47" s="40"/>
      <c r="F47" s="40"/>
      <c r="G47" s="40"/>
      <c r="H47" s="230"/>
      <c r="I47" s="235"/>
      <c r="J47" s="235"/>
      <c r="O47" s="82">
        <v>1.04</v>
      </c>
      <c r="P47" s="82">
        <f t="shared" si="2"/>
        <v>96.449600000000004</v>
      </c>
      <c r="Q47" s="2"/>
      <c r="T47" s="92" t="s">
        <v>102</v>
      </c>
      <c r="U47" s="129">
        <v>115.36</v>
      </c>
      <c r="W47" s="132">
        <v>42731</v>
      </c>
      <c r="X47" s="10">
        <v>93.17</v>
      </c>
      <c r="Y47" s="10">
        <v>94.5</v>
      </c>
      <c r="Z47" s="10">
        <v>93.14</v>
      </c>
      <c r="AA47" s="10">
        <v>93.35</v>
      </c>
      <c r="AB47" s="94">
        <v>1352700</v>
      </c>
      <c r="AC47" s="10">
        <v>93.35</v>
      </c>
      <c r="AD47" s="2">
        <f t="shared" si="0"/>
        <v>1.3599999999999994</v>
      </c>
      <c r="AE47" s="137">
        <f t="shared" si="1"/>
        <v>3.7634408602149616E-3</v>
      </c>
    </row>
    <row r="48" spans="2:31" x14ac:dyDescent="0.25">
      <c r="B48" s="156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2"/>
        <v>95.522199999999998</v>
      </c>
      <c r="Q48" s="2"/>
      <c r="T48" s="92" t="s">
        <v>103</v>
      </c>
      <c r="U48" s="129">
        <v>0.80309399999999997</v>
      </c>
      <c r="W48" s="132">
        <v>42727</v>
      </c>
      <c r="X48" s="10">
        <v>91.72</v>
      </c>
      <c r="Y48" s="10">
        <v>93.35</v>
      </c>
      <c r="Z48" s="10">
        <v>91.52</v>
      </c>
      <c r="AA48" s="10">
        <v>93</v>
      </c>
      <c r="AB48" s="94">
        <v>1235100</v>
      </c>
      <c r="AC48" s="10">
        <v>93</v>
      </c>
      <c r="AD48" s="2">
        <f t="shared" si="0"/>
        <v>1.8299999999999983</v>
      </c>
      <c r="AE48" s="137">
        <f t="shared" si="1"/>
        <v>1.3071895424836555E-2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2"/>
        <v>94.594799999999992</v>
      </c>
      <c r="Q49" s="2"/>
      <c r="T49" s="92" t="s">
        <v>122</v>
      </c>
      <c r="U49" s="129" t="s">
        <v>435</v>
      </c>
      <c r="W49" s="132">
        <v>42726</v>
      </c>
      <c r="X49" s="10">
        <v>91.37</v>
      </c>
      <c r="Y49" s="10">
        <v>92.4</v>
      </c>
      <c r="Z49" s="10">
        <v>91.05</v>
      </c>
      <c r="AA49" s="10">
        <v>91.8</v>
      </c>
      <c r="AB49" s="94">
        <v>1598400</v>
      </c>
      <c r="AC49" s="10">
        <v>91.8</v>
      </c>
      <c r="AD49" s="2">
        <f t="shared" si="0"/>
        <v>1.3500000000000085</v>
      </c>
      <c r="AE49" s="137">
        <f t="shared" si="1"/>
        <v>4.0468117685659166E-3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2"/>
        <v>93.667400000000001</v>
      </c>
      <c r="Q50" s="2"/>
      <c r="T50" s="92"/>
      <c r="U50" s="129"/>
      <c r="W50" s="132">
        <v>42725</v>
      </c>
      <c r="X50" s="10">
        <v>90.59</v>
      </c>
      <c r="Y50" s="10">
        <v>92.04</v>
      </c>
      <c r="Z50" s="10">
        <v>90.44</v>
      </c>
      <c r="AA50" s="10">
        <v>91.43</v>
      </c>
      <c r="AB50" s="94">
        <v>1606700</v>
      </c>
      <c r="AC50" s="10">
        <v>91.43</v>
      </c>
      <c r="AD50" s="2">
        <f t="shared" si="0"/>
        <v>1.6000000000000085</v>
      </c>
      <c r="AE50" s="137">
        <f t="shared" si="1"/>
        <v>6.1626499394740186E-3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2"/>
        <v>92.74</v>
      </c>
      <c r="Q51" s="2"/>
      <c r="T51" s="92" t="s">
        <v>105</v>
      </c>
      <c r="U51" s="129" t="s">
        <v>639</v>
      </c>
      <c r="W51" s="132">
        <v>42724</v>
      </c>
      <c r="X51" s="10">
        <v>91.53</v>
      </c>
      <c r="Y51" s="10">
        <v>92.26</v>
      </c>
      <c r="Z51" s="10">
        <v>90.42</v>
      </c>
      <c r="AA51" s="10">
        <v>90.87</v>
      </c>
      <c r="AB51" s="94">
        <v>1628600</v>
      </c>
      <c r="AC51" s="10">
        <v>90.87</v>
      </c>
      <c r="AD51" s="2">
        <f t="shared" si="0"/>
        <v>1.8400000000000034</v>
      </c>
      <c r="AE51" s="137">
        <f t="shared" si="1"/>
        <v>-6.6681241801486157E-3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J52" s="40"/>
      <c r="O52" s="82">
        <v>0.99</v>
      </c>
      <c r="P52" s="82">
        <f t="shared" si="2"/>
        <v>91.812599999999989</v>
      </c>
      <c r="Q52" s="2"/>
      <c r="T52" s="92" t="s">
        <v>106</v>
      </c>
      <c r="U52" s="129" t="s">
        <v>473</v>
      </c>
      <c r="W52" s="132">
        <v>42723</v>
      </c>
      <c r="X52" s="10">
        <v>91.31</v>
      </c>
      <c r="Y52" s="10">
        <v>92.22</v>
      </c>
      <c r="Z52" s="10">
        <v>91.27</v>
      </c>
      <c r="AA52" s="10">
        <v>91.48</v>
      </c>
      <c r="AB52" s="94">
        <v>2222500</v>
      </c>
      <c r="AC52" s="10">
        <v>91.48</v>
      </c>
      <c r="AD52" s="2">
        <f t="shared" si="0"/>
        <v>0.95000000000000284</v>
      </c>
      <c r="AE52" s="137">
        <f t="shared" si="1"/>
        <v>9.8479045847477131E-4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J53" s="40"/>
      <c r="O53" s="82">
        <v>0.98</v>
      </c>
      <c r="P53" s="82">
        <f t="shared" si="2"/>
        <v>90.885199999999998</v>
      </c>
      <c r="Q53" s="2"/>
      <c r="T53" s="92" t="s">
        <v>107</v>
      </c>
      <c r="U53" s="130">
        <v>1978161</v>
      </c>
      <c r="W53" s="132">
        <v>42720</v>
      </c>
      <c r="X53" s="10">
        <v>91.26</v>
      </c>
      <c r="Y53" s="10">
        <v>92.25</v>
      </c>
      <c r="Z53" s="10">
        <v>90.8</v>
      </c>
      <c r="AA53" s="10">
        <v>91.39</v>
      </c>
      <c r="AB53" s="94">
        <v>3456600</v>
      </c>
      <c r="AC53" s="10">
        <v>91.39</v>
      </c>
      <c r="AD53" s="2">
        <f t="shared" si="0"/>
        <v>1.4500000000000028</v>
      </c>
      <c r="AE53" s="137">
        <f t="shared" si="1"/>
        <v>1.0057471264367734E-2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J54" s="40"/>
      <c r="O54" s="82">
        <v>0.97</v>
      </c>
      <c r="P54" s="82">
        <f t="shared" si="2"/>
        <v>89.957799999999992</v>
      </c>
      <c r="T54" s="92" t="s">
        <v>110</v>
      </c>
      <c r="U54" s="130">
        <v>2373100</v>
      </c>
      <c r="W54" s="132">
        <v>42719</v>
      </c>
      <c r="X54" s="10">
        <v>89.76</v>
      </c>
      <c r="Y54" s="10">
        <v>90.83</v>
      </c>
      <c r="Z54" s="10">
        <v>89.24</v>
      </c>
      <c r="AA54" s="10">
        <v>90.48</v>
      </c>
      <c r="AB54" s="94">
        <v>2222300</v>
      </c>
      <c r="AC54" s="10">
        <v>90.48</v>
      </c>
      <c r="AD54" s="2">
        <f t="shared" si="0"/>
        <v>1.5900000000000034</v>
      </c>
      <c r="AE54" s="137">
        <f t="shared" si="1"/>
        <v>7.3480293921177608E-3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J55" s="40"/>
      <c r="O55" s="82">
        <v>0.96</v>
      </c>
      <c r="P55" s="82">
        <f t="shared" si="2"/>
        <v>89.030399999999986</v>
      </c>
      <c r="T55" s="92" t="s">
        <v>108</v>
      </c>
      <c r="U55" s="129" t="s">
        <v>640</v>
      </c>
      <c r="W55" s="132">
        <v>42718</v>
      </c>
      <c r="X55" s="10">
        <v>89.75</v>
      </c>
      <c r="Y55" s="10">
        <v>92.29</v>
      </c>
      <c r="Z55" s="10">
        <v>89.33</v>
      </c>
      <c r="AA55" s="10">
        <v>89.82</v>
      </c>
      <c r="AB55" s="94">
        <v>2329400</v>
      </c>
      <c r="AC55" s="10">
        <v>89.82</v>
      </c>
      <c r="AD55" s="2">
        <f t="shared" si="0"/>
        <v>2.960000000000008</v>
      </c>
      <c r="AE55" s="137">
        <f t="shared" si="1"/>
        <v>5.0352467270895485E-3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J56" s="40"/>
      <c r="O56" s="82">
        <v>0.95</v>
      </c>
      <c r="P56" s="82">
        <f t="shared" si="2"/>
        <v>88.102999999999994</v>
      </c>
      <c r="T56" s="92" t="s">
        <v>111</v>
      </c>
      <c r="U56" s="129">
        <v>35.42</v>
      </c>
      <c r="W56" s="132">
        <v>42717</v>
      </c>
      <c r="X56" s="10">
        <v>88.43</v>
      </c>
      <c r="Y56" s="10">
        <v>91.1</v>
      </c>
      <c r="Z56" s="10">
        <v>87.56</v>
      </c>
      <c r="AA56" s="10">
        <v>89.37</v>
      </c>
      <c r="AB56" s="94">
        <v>2896800</v>
      </c>
      <c r="AC56" s="10">
        <v>89.37</v>
      </c>
      <c r="AD56" s="2">
        <f t="shared" si="0"/>
        <v>3.539999999999992</v>
      </c>
      <c r="AE56" s="137">
        <f t="shared" si="1"/>
        <v>4.9477116833465118E-3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J57" s="40"/>
      <c r="O57" s="82">
        <v>0.94</v>
      </c>
      <c r="P57" s="82">
        <f t="shared" si="2"/>
        <v>87.175599999999989</v>
      </c>
      <c r="T57" s="92" t="s">
        <v>112</v>
      </c>
      <c r="U57" s="129">
        <v>2.61</v>
      </c>
      <c r="W57" s="132">
        <v>42716</v>
      </c>
      <c r="X57" s="10">
        <v>90.05</v>
      </c>
      <c r="Y57" s="10">
        <v>91.41</v>
      </c>
      <c r="Z57" s="10">
        <v>88.54</v>
      </c>
      <c r="AA57" s="10">
        <v>88.93</v>
      </c>
      <c r="AB57" s="94">
        <v>2720600</v>
      </c>
      <c r="AC57" s="10">
        <v>88.93</v>
      </c>
      <c r="AD57" s="2">
        <f t="shared" si="0"/>
        <v>2.8699999999999903</v>
      </c>
      <c r="AE57" s="137">
        <f t="shared" si="1"/>
        <v>-1.5934491534801309E-2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J58" s="40"/>
      <c r="O58" s="82">
        <v>0.93</v>
      </c>
      <c r="P58" s="82">
        <f t="shared" si="2"/>
        <v>86.248199999999997</v>
      </c>
      <c r="T58" s="92" t="s">
        <v>109</v>
      </c>
      <c r="U58" s="129" t="s">
        <v>123</v>
      </c>
      <c r="W58" s="132">
        <v>42713</v>
      </c>
      <c r="X58" s="10">
        <v>89.53</v>
      </c>
      <c r="Y58" s="10">
        <v>92.98</v>
      </c>
      <c r="Z58" s="10">
        <v>89.3</v>
      </c>
      <c r="AA58" s="10">
        <v>90.37</v>
      </c>
      <c r="AB58" s="94">
        <v>4170500</v>
      </c>
      <c r="AC58" s="10">
        <v>90.37</v>
      </c>
      <c r="AD58" s="2">
        <f t="shared" si="0"/>
        <v>3.6800000000000068</v>
      </c>
      <c r="AE58" s="137">
        <f t="shared" si="1"/>
        <v>1.1982082866741406E-2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J59" s="40"/>
      <c r="O59" s="82">
        <v>0.92</v>
      </c>
      <c r="P59" s="82">
        <f t="shared" si="2"/>
        <v>85.320800000000006</v>
      </c>
      <c r="W59" s="132">
        <v>42712</v>
      </c>
      <c r="X59" s="10">
        <v>85.55</v>
      </c>
      <c r="Y59" s="10">
        <v>91.34</v>
      </c>
      <c r="Z59" s="10">
        <v>85.27</v>
      </c>
      <c r="AA59" s="10">
        <v>89.3</v>
      </c>
      <c r="AB59" s="94">
        <v>6108600</v>
      </c>
      <c r="AC59" s="10">
        <v>89.3</v>
      </c>
      <c r="AD59" s="2">
        <f t="shared" si="0"/>
        <v>6.0700000000000074</v>
      </c>
      <c r="AE59" s="137">
        <f t="shared" si="1"/>
        <v>6.652334885942901E-2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J60" s="40"/>
      <c r="O60" s="82">
        <v>0.91</v>
      </c>
      <c r="P60" s="82">
        <f t="shared" si="2"/>
        <v>84.3934</v>
      </c>
      <c r="W60" s="132">
        <v>42711</v>
      </c>
      <c r="X60" s="10">
        <v>82.99</v>
      </c>
      <c r="Y60" s="10">
        <v>83.75</v>
      </c>
      <c r="Z60" s="10">
        <v>81.900000000000006</v>
      </c>
      <c r="AA60" s="10">
        <v>83.73</v>
      </c>
      <c r="AB60" s="94">
        <v>2536800</v>
      </c>
      <c r="AC60" s="10">
        <v>83.73</v>
      </c>
      <c r="AD60" s="2">
        <f t="shared" si="0"/>
        <v>1.8499999999999943</v>
      </c>
      <c r="AE60" s="137">
        <f t="shared" si="1"/>
        <v>6.1283345349676388E-3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J61" s="40"/>
      <c r="O61" s="82">
        <v>0.9</v>
      </c>
      <c r="P61" s="82">
        <f t="shared" si="2"/>
        <v>83.465999999999994</v>
      </c>
      <c r="W61" s="132">
        <v>42710</v>
      </c>
      <c r="X61" s="10">
        <v>83.15</v>
      </c>
      <c r="Y61" s="10">
        <v>83.92</v>
      </c>
      <c r="Z61" s="10">
        <v>81.849999999999994</v>
      </c>
      <c r="AA61" s="10">
        <v>83.22</v>
      </c>
      <c r="AB61" s="94">
        <v>2878200</v>
      </c>
      <c r="AC61" s="10">
        <v>83.22</v>
      </c>
      <c r="AD61" s="2">
        <f t="shared" si="0"/>
        <v>2.0700000000000074</v>
      </c>
      <c r="AE61" s="137">
        <f t="shared" si="1"/>
        <v>8.8495575221239076E-3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J62" s="40"/>
      <c r="W62" s="132">
        <v>42709</v>
      </c>
      <c r="X62" s="10">
        <v>83.78</v>
      </c>
      <c r="Y62" s="10">
        <v>83.94</v>
      </c>
      <c r="Z62" s="10">
        <v>82.41</v>
      </c>
      <c r="AA62" s="10">
        <v>82.49</v>
      </c>
      <c r="AB62" s="94">
        <v>1974200</v>
      </c>
      <c r="AC62" s="10">
        <v>82.49</v>
      </c>
      <c r="AD62" s="2">
        <f t="shared" si="0"/>
        <v>1.5300000000000011</v>
      </c>
      <c r="AE62" s="137">
        <f t="shared" si="1"/>
        <v>-1.0317936412717499E-2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J63" s="40"/>
      <c r="W63" s="132">
        <v>42706</v>
      </c>
      <c r="X63" s="10">
        <v>81.44</v>
      </c>
      <c r="Y63" s="10">
        <v>84.66</v>
      </c>
      <c r="Z63" s="10">
        <v>81.25</v>
      </c>
      <c r="AA63" s="10">
        <v>83.35</v>
      </c>
      <c r="AB63" s="94">
        <v>2322800</v>
      </c>
      <c r="AC63" s="10">
        <v>83.35</v>
      </c>
      <c r="AD63" s="2">
        <f t="shared" si="0"/>
        <v>3.4099999999999966</v>
      </c>
      <c r="AE63" s="137">
        <f t="shared" si="1"/>
        <v>2.3075978887934223E-2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J64" s="40"/>
      <c r="W64" s="132">
        <v>42705</v>
      </c>
      <c r="X64" s="10">
        <v>82.8</v>
      </c>
      <c r="Y64" s="10">
        <v>83.1</v>
      </c>
      <c r="Z64" s="10">
        <v>81.12</v>
      </c>
      <c r="AA64" s="10">
        <v>81.47</v>
      </c>
      <c r="AB64" s="94">
        <v>2468900</v>
      </c>
      <c r="AC64" s="10">
        <v>81.47</v>
      </c>
      <c r="AD64" s="2">
        <f t="shared" si="0"/>
        <v>1.9799999999999898</v>
      </c>
      <c r="AE64" s="137">
        <f t="shared" si="1"/>
        <v>-1.6656608328304068E-2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J65" s="40"/>
      <c r="W65" s="132">
        <v>42704</v>
      </c>
      <c r="X65" s="10">
        <v>84.24</v>
      </c>
      <c r="Y65" s="10">
        <v>84.25</v>
      </c>
      <c r="Z65" s="10">
        <v>82.84</v>
      </c>
      <c r="AA65" s="10">
        <v>82.85</v>
      </c>
      <c r="AB65" s="94">
        <v>2765300</v>
      </c>
      <c r="AC65" s="10">
        <v>82.85</v>
      </c>
      <c r="AD65" s="2">
        <f t="shared" si="0"/>
        <v>1.4099999999999966</v>
      </c>
      <c r="AE65" s="137">
        <f t="shared" si="1"/>
        <v>-1.2514898688915532E-2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J66" s="40"/>
      <c r="W66" s="132">
        <v>42703</v>
      </c>
      <c r="X66" s="10">
        <v>84.56</v>
      </c>
      <c r="Y66" s="10">
        <v>85.45</v>
      </c>
      <c r="Z66" s="10">
        <v>83.77</v>
      </c>
      <c r="AA66" s="10">
        <v>83.9</v>
      </c>
      <c r="AB66" s="94">
        <v>2768000</v>
      </c>
      <c r="AC66" s="10">
        <v>83.9</v>
      </c>
      <c r="AD66" s="2">
        <f t="shared" si="0"/>
        <v>1.6800000000000068</v>
      </c>
      <c r="AE66" s="137">
        <f t="shared" si="1"/>
        <v>-4.7449584816131596E-3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J67" s="40"/>
      <c r="W67" s="132">
        <v>42702</v>
      </c>
      <c r="X67" s="10">
        <v>85.41</v>
      </c>
      <c r="Y67" s="10">
        <v>85.59</v>
      </c>
      <c r="Z67" s="10">
        <v>84.01</v>
      </c>
      <c r="AA67" s="10">
        <v>84.3</v>
      </c>
      <c r="AB67" s="94">
        <v>3076300</v>
      </c>
      <c r="AC67" s="10">
        <v>84.3</v>
      </c>
      <c r="AD67" s="2">
        <f>Y67-Z67</f>
        <v>1.5799999999999983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J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2" t="s">
        <v>1</v>
      </c>
      <c r="B72" s="576" t="s">
        <v>2</v>
      </c>
      <c r="C72" s="262" t="s">
        <v>4</v>
      </c>
      <c r="D72" s="263" t="s">
        <v>5</v>
      </c>
      <c r="E72" s="263" t="s">
        <v>94</v>
      </c>
      <c r="F72" s="263" t="s">
        <v>60</v>
      </c>
      <c r="G72" s="262" t="s">
        <v>3</v>
      </c>
      <c r="H72" s="262" t="s">
        <v>6</v>
      </c>
      <c r="I72" s="263" t="s">
        <v>7</v>
      </c>
      <c r="J72" s="263" t="s">
        <v>95</v>
      </c>
      <c r="K72" s="263" t="s">
        <v>61</v>
      </c>
      <c r="L72" s="262" t="s">
        <v>37</v>
      </c>
      <c r="M72" s="262" t="s">
        <v>38</v>
      </c>
    </row>
    <row r="73" spans="1:31" x14ac:dyDescent="0.25">
      <c r="A73" s="264" t="s">
        <v>324</v>
      </c>
      <c r="B73" s="577">
        <v>42704</v>
      </c>
      <c r="C73" s="260">
        <v>40</v>
      </c>
      <c r="D73" s="261">
        <v>83.05</v>
      </c>
      <c r="E73" s="261">
        <v>0</v>
      </c>
      <c r="F73" s="261">
        <f>C73*D73+E73</f>
        <v>3322</v>
      </c>
      <c r="G73" s="577">
        <v>42739</v>
      </c>
      <c r="H73" s="266">
        <v>40</v>
      </c>
      <c r="I73" s="261">
        <v>96.5</v>
      </c>
      <c r="J73" s="261">
        <v>0.08</v>
      </c>
      <c r="K73" s="261">
        <f>I73*H73-J73</f>
        <v>3859.92</v>
      </c>
      <c r="L73" s="265"/>
      <c r="M73" s="261"/>
    </row>
    <row r="74" spans="1:31" x14ac:dyDescent="0.25">
      <c r="A74" s="267" t="s">
        <v>71</v>
      </c>
      <c r="B74" s="701">
        <v>42768</v>
      </c>
      <c r="C74" s="681">
        <v>40</v>
      </c>
      <c r="D74" s="679">
        <v>91.52</v>
      </c>
      <c r="E74" s="679">
        <v>0</v>
      </c>
      <c r="F74" s="679">
        <f>D74*C74+E74</f>
        <v>3660.7999999999997</v>
      </c>
      <c r="G74" s="701">
        <v>42803</v>
      </c>
      <c r="H74" s="681">
        <v>20</v>
      </c>
      <c r="I74" s="679">
        <v>91.58</v>
      </c>
      <c r="J74" s="679">
        <v>0.04</v>
      </c>
      <c r="K74" s="679">
        <f>I74*H74-J74</f>
        <v>1831.56</v>
      </c>
      <c r="L74" s="680"/>
      <c r="M74" s="679"/>
    </row>
    <row r="75" spans="1:31" x14ac:dyDescent="0.25">
      <c r="A75" s="260"/>
      <c r="B75" s="701">
        <v>42768</v>
      </c>
      <c r="C75" s="681">
        <v>40</v>
      </c>
      <c r="D75" s="679">
        <v>88.8</v>
      </c>
      <c r="E75" s="679">
        <v>0</v>
      </c>
      <c r="F75" s="679">
        <f>D75*C75+E75</f>
        <v>3552</v>
      </c>
      <c r="G75" s="701">
        <v>42803</v>
      </c>
      <c r="H75" s="691">
        <v>20</v>
      </c>
      <c r="I75" s="679">
        <v>92.2</v>
      </c>
      <c r="J75" s="679">
        <v>0.04</v>
      </c>
      <c r="K75" s="679">
        <f t="shared" ref="K75:K76" si="3">I75*H75-J75</f>
        <v>1843.96</v>
      </c>
      <c r="L75" s="681"/>
      <c r="M75" s="681"/>
    </row>
    <row r="76" spans="1:31" x14ac:dyDescent="0.25">
      <c r="A76" s="260"/>
      <c r="B76" s="701"/>
      <c r="C76" s="681"/>
      <c r="D76" s="679"/>
      <c r="E76" s="679"/>
      <c r="F76" s="679"/>
      <c r="G76" s="701">
        <v>42803</v>
      </c>
      <c r="H76" s="691">
        <v>40</v>
      </c>
      <c r="I76" s="679">
        <v>93</v>
      </c>
      <c r="J76" s="679">
        <v>0.08</v>
      </c>
      <c r="K76" s="679">
        <f t="shared" si="3"/>
        <v>3719.92</v>
      </c>
      <c r="L76" s="681"/>
      <c r="M76" s="681"/>
    </row>
    <row r="77" spans="1:31" x14ac:dyDescent="0.25">
      <c r="A77" s="260"/>
      <c r="B77" s="577"/>
      <c r="C77" s="260"/>
      <c r="D77" s="261"/>
      <c r="E77" s="261"/>
      <c r="F77" s="261"/>
      <c r="G77" s="577"/>
      <c r="H77" s="266"/>
      <c r="I77" s="261"/>
      <c r="J77" s="261"/>
      <c r="K77" s="261"/>
      <c r="L77" s="260"/>
      <c r="M77" s="260"/>
    </row>
    <row r="78" spans="1:31" x14ac:dyDescent="0.25">
      <c r="A78" s="260"/>
      <c r="B78" s="577"/>
      <c r="C78" s="260"/>
      <c r="D78" s="261"/>
      <c r="E78" s="261"/>
      <c r="F78" s="261"/>
      <c r="G78" s="577"/>
      <c r="H78" s="266"/>
      <c r="I78" s="261"/>
      <c r="J78" s="261"/>
      <c r="K78" s="261"/>
      <c r="L78" s="260"/>
      <c r="M78" s="260"/>
    </row>
    <row r="79" spans="1:31" x14ac:dyDescent="0.25">
      <c r="A79" s="260"/>
      <c r="B79" s="577"/>
      <c r="C79" s="260"/>
      <c r="D79" s="261"/>
      <c r="E79" s="261"/>
      <c r="F79" s="261"/>
      <c r="G79" s="577"/>
      <c r="H79" s="266"/>
      <c r="I79" s="261"/>
      <c r="J79" s="261"/>
      <c r="K79" s="261"/>
      <c r="L79" s="260"/>
      <c r="M79" s="260"/>
    </row>
    <row r="80" spans="1:31" x14ac:dyDescent="0.25">
      <c r="A80" s="260"/>
      <c r="B80" s="577"/>
      <c r="C80" s="260"/>
      <c r="D80" s="261"/>
      <c r="E80" s="261"/>
      <c r="F80" s="261"/>
      <c r="G80" s="577"/>
      <c r="H80" s="266"/>
      <c r="I80" s="261"/>
      <c r="J80" s="261"/>
      <c r="K80" s="261"/>
      <c r="L80" s="260"/>
      <c r="M80" s="260"/>
    </row>
    <row r="81" spans="1:13" x14ac:dyDescent="0.25">
      <c r="A81" s="260"/>
      <c r="B81" s="577"/>
      <c r="C81" s="260"/>
      <c r="D81" s="261"/>
      <c r="E81" s="261"/>
      <c r="F81" s="261"/>
      <c r="G81" s="577"/>
      <c r="H81" s="266"/>
      <c r="I81" s="261"/>
      <c r="J81" s="261"/>
      <c r="K81" s="261"/>
      <c r="L81" s="260"/>
      <c r="M81" s="260"/>
    </row>
    <row r="82" spans="1:13" x14ac:dyDescent="0.25">
      <c r="A82" s="260"/>
      <c r="B82" s="577"/>
      <c r="C82" s="260"/>
      <c r="D82" s="261"/>
      <c r="E82" s="261"/>
      <c r="F82" s="261"/>
      <c r="G82" s="577"/>
      <c r="H82" s="266"/>
      <c r="I82" s="261"/>
      <c r="J82" s="261"/>
      <c r="K82" s="261"/>
      <c r="L82" s="260"/>
      <c r="M82" s="260"/>
    </row>
    <row r="83" spans="1:13" x14ac:dyDescent="0.25">
      <c r="A83" s="260"/>
      <c r="B83" s="577"/>
      <c r="C83" s="260"/>
      <c r="D83" s="261"/>
      <c r="E83" s="261"/>
      <c r="F83" s="261"/>
      <c r="G83" s="577"/>
      <c r="H83" s="266"/>
      <c r="I83" s="261"/>
      <c r="J83" s="261"/>
      <c r="K83" s="261"/>
      <c r="L83" s="260"/>
      <c r="M83" s="260"/>
    </row>
    <row r="84" spans="1:13" x14ac:dyDescent="0.25">
      <c r="A84" s="260"/>
      <c r="B84" s="577"/>
      <c r="C84" s="260"/>
      <c r="D84" s="261"/>
      <c r="E84" s="261"/>
      <c r="F84" s="261"/>
      <c r="G84" s="577"/>
      <c r="H84" s="266"/>
      <c r="I84" s="261"/>
      <c r="J84" s="261"/>
      <c r="K84" s="261"/>
      <c r="L84" s="260"/>
      <c r="M84" s="260"/>
    </row>
    <row r="85" spans="1:13" x14ac:dyDescent="0.25">
      <c r="A85" s="260"/>
      <c r="B85" s="577"/>
      <c r="C85" s="260"/>
      <c r="D85" s="261"/>
      <c r="E85" s="261"/>
      <c r="F85" s="261"/>
      <c r="G85" s="577"/>
      <c r="H85" s="266"/>
      <c r="I85" s="261"/>
      <c r="J85" s="261"/>
      <c r="K85" s="261"/>
      <c r="L85" s="260"/>
      <c r="M85" s="260"/>
    </row>
    <row r="86" spans="1:13" x14ac:dyDescent="0.25">
      <c r="A86" s="260"/>
      <c r="B86" s="577"/>
      <c r="C86" s="260"/>
      <c r="D86" s="261"/>
      <c r="E86" s="261"/>
      <c r="F86" s="261"/>
      <c r="G86" s="577"/>
      <c r="H86" s="266"/>
      <c r="I86" s="261"/>
      <c r="J86" s="261"/>
      <c r="K86" s="261"/>
      <c r="L86" s="260"/>
      <c r="M86" s="260"/>
    </row>
    <row r="87" spans="1:13" x14ac:dyDescent="0.25">
      <c r="A87" s="260"/>
      <c r="B87" s="577"/>
      <c r="C87" s="260"/>
      <c r="D87" s="261"/>
      <c r="E87" s="261"/>
      <c r="F87" s="261"/>
      <c r="G87" s="577"/>
      <c r="H87" s="266"/>
      <c r="I87" s="261"/>
      <c r="J87" s="261"/>
      <c r="K87" s="261"/>
      <c r="L87" s="260"/>
      <c r="M87" s="260"/>
    </row>
    <row r="88" spans="1:13" x14ac:dyDescent="0.25">
      <c r="A88" s="260"/>
      <c r="B88" s="577"/>
      <c r="C88" s="260"/>
      <c r="D88" s="261"/>
      <c r="E88" s="261"/>
      <c r="F88" s="261"/>
      <c r="G88" s="577"/>
      <c r="H88" s="260"/>
      <c r="I88" s="261"/>
      <c r="J88" s="261"/>
      <c r="K88" s="261"/>
      <c r="L88" s="260"/>
      <c r="M88" s="260"/>
    </row>
    <row r="89" spans="1:13" x14ac:dyDescent="0.25">
      <c r="A89" s="32" t="s">
        <v>81</v>
      </c>
      <c r="B89" s="50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2" t="s">
        <v>197</v>
      </c>
      <c r="B90" s="578"/>
      <c r="C90" s="464">
        <f>SumByColor($A$19,C73:C88)</f>
        <v>0</v>
      </c>
      <c r="D90" s="464"/>
      <c r="E90" s="464"/>
      <c r="F90" s="465">
        <f>SumByColor($A$19,F73:F88)</f>
        <v>0</v>
      </c>
      <c r="G90" s="464"/>
      <c r="H90" s="464">
        <f>SumByColor($A$19,H73:H88)</f>
        <v>0</v>
      </c>
      <c r="I90" s="464"/>
      <c r="J90" s="464"/>
      <c r="K90" s="465">
        <f>SumByColor($A$19,K73:K88)</f>
        <v>0</v>
      </c>
      <c r="L90" s="464"/>
      <c r="M90" s="465">
        <f>SumByColor($A$19,M73:M88)</f>
        <v>0</v>
      </c>
    </row>
    <row r="95" spans="1:13" x14ac:dyDescent="0.25">
      <c r="B95" s="505" t="s">
        <v>114</v>
      </c>
      <c r="C95" s="190" t="s">
        <v>147</v>
      </c>
      <c r="D95" s="191" t="s">
        <v>146</v>
      </c>
      <c r="E95" s="193" t="s">
        <v>148</v>
      </c>
      <c r="F95" s="193" t="s">
        <v>65</v>
      </c>
      <c r="G95" s="228" t="s">
        <v>152</v>
      </c>
      <c r="H95" s="228" t="s">
        <v>88</v>
      </c>
      <c r="I95" s="228" t="s">
        <v>155</v>
      </c>
    </row>
    <row r="96" spans="1:13" x14ac:dyDescent="0.25">
      <c r="B96" s="666">
        <v>42704</v>
      </c>
      <c r="C96" s="378">
        <v>40</v>
      </c>
      <c r="D96" s="379">
        <v>83.05</v>
      </c>
      <c r="E96" s="379">
        <v>82.85</v>
      </c>
      <c r="F96" s="379">
        <f>C96*(E96-D96)</f>
        <v>-8.0000000000001137</v>
      </c>
      <c r="G96" s="379">
        <f>D96*C96</f>
        <v>3322</v>
      </c>
      <c r="H96" s="380">
        <f>(E96-D96)/D96</f>
        <v>-2.4081878386514491E-3</v>
      </c>
      <c r="I96" s="379"/>
    </row>
    <row r="97" spans="1:10" x14ac:dyDescent="0.25">
      <c r="B97" s="666">
        <v>42708</v>
      </c>
      <c r="C97" s="378">
        <v>40</v>
      </c>
      <c r="D97" s="379">
        <v>83.05</v>
      </c>
      <c r="E97" s="379">
        <v>83.35</v>
      </c>
      <c r="F97" s="379">
        <f>C97*(E97-D97)</f>
        <v>11.999999999999886</v>
      </c>
      <c r="G97" s="379">
        <f>D97*C97</f>
        <v>3322</v>
      </c>
      <c r="H97" s="380">
        <f>(E97-D97)/D97</f>
        <v>3.612281757977088E-3</v>
      </c>
      <c r="I97" s="379"/>
    </row>
    <row r="98" spans="1:10" x14ac:dyDescent="0.25">
      <c r="B98" s="666">
        <v>42729</v>
      </c>
      <c r="C98" s="378">
        <v>40</v>
      </c>
      <c r="D98" s="379">
        <v>83.05</v>
      </c>
      <c r="E98" s="379">
        <v>93</v>
      </c>
      <c r="F98" s="379">
        <f>C98*(E98-D98)</f>
        <v>398.00000000000011</v>
      </c>
      <c r="G98" s="379">
        <f>D98*C98</f>
        <v>3322</v>
      </c>
      <c r="H98" s="380">
        <f>(E98-D98)/D98</f>
        <v>0.11980734497290793</v>
      </c>
      <c r="I98" s="379"/>
    </row>
    <row r="99" spans="1:10" x14ac:dyDescent="0.25">
      <c r="B99" s="666">
        <v>42739</v>
      </c>
      <c r="C99" s="378">
        <v>0</v>
      </c>
      <c r="D99" s="379"/>
      <c r="E99" s="379"/>
      <c r="F99" s="379">
        <v>537.91999999999996</v>
      </c>
      <c r="G99" s="379"/>
      <c r="H99" s="380"/>
      <c r="I99" s="379"/>
    </row>
    <row r="100" spans="1:10" x14ac:dyDescent="0.25">
      <c r="A100" t="s">
        <v>393</v>
      </c>
      <c r="B100" s="156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30">
        <f>(E100-D100)/D100</f>
        <v>-4.7692990239573269E-3</v>
      </c>
      <c r="I100" s="40"/>
      <c r="J100" s="40"/>
    </row>
    <row r="101" spans="1:10" x14ac:dyDescent="0.25">
      <c r="A101" t="s">
        <v>393</v>
      </c>
      <c r="B101" s="156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30">
        <f>(E101-D101)/D101</f>
        <v>2.7839396628216561E-2</v>
      </c>
      <c r="I101" s="40"/>
      <c r="J101" s="40"/>
    </row>
    <row r="102" spans="1:10" x14ac:dyDescent="0.25">
      <c r="A102">
        <v>80</v>
      </c>
      <c r="B102" s="156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30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6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30">
        <f t="shared" si="6"/>
        <v>2.0226122248734393E-2</v>
      </c>
      <c r="I103" s="40"/>
      <c r="J103" s="40"/>
    </row>
    <row r="104" spans="1:10" x14ac:dyDescent="0.25">
      <c r="B104" s="156">
        <v>42803</v>
      </c>
      <c r="C104" s="10">
        <v>0</v>
      </c>
      <c r="D104" s="40"/>
      <c r="E104" s="40"/>
      <c r="F104" s="40">
        <v>182.64</v>
      </c>
      <c r="G104" s="40"/>
      <c r="H104" s="230"/>
      <c r="I104" s="40"/>
      <c r="J104" s="40"/>
    </row>
    <row r="105" spans="1:10" x14ac:dyDescent="0.25">
      <c r="B105" s="666"/>
      <c r="C105" s="378"/>
      <c r="D105" s="379"/>
      <c r="E105" s="379"/>
      <c r="F105" s="379"/>
      <c r="G105" s="379"/>
      <c r="H105" s="380"/>
      <c r="I105" s="379"/>
    </row>
    <row r="106" spans="1:10" x14ac:dyDescent="0.25">
      <c r="B106" s="666"/>
      <c r="C106" s="378"/>
      <c r="D106" s="379"/>
      <c r="E106" s="379"/>
      <c r="F106" s="379"/>
      <c r="G106" s="379"/>
      <c r="H106" s="380"/>
      <c r="I106" s="379"/>
    </row>
    <row r="107" spans="1:10" x14ac:dyDescent="0.25">
      <c r="B107" s="666"/>
      <c r="C107" s="378"/>
      <c r="D107" s="379"/>
      <c r="E107" s="379"/>
      <c r="F107" s="379"/>
      <c r="G107" s="379"/>
      <c r="H107" s="380"/>
      <c r="I107" s="379"/>
    </row>
    <row r="108" spans="1:10" x14ac:dyDescent="0.25">
      <c r="B108" s="666"/>
      <c r="C108" s="378"/>
      <c r="D108" s="379"/>
      <c r="E108" s="379"/>
      <c r="F108" s="379"/>
      <c r="G108" s="379"/>
      <c r="H108" s="380"/>
      <c r="I108" s="379"/>
    </row>
    <row r="109" spans="1:10" x14ac:dyDescent="0.25">
      <c r="B109" s="666"/>
      <c r="C109" s="378"/>
      <c r="D109" s="379"/>
      <c r="E109" s="379"/>
      <c r="F109" s="379"/>
      <c r="G109" s="379"/>
      <c r="H109" s="380"/>
      <c r="I109" s="379"/>
    </row>
    <row r="110" spans="1:10" x14ac:dyDescent="0.25">
      <c r="B110" s="666"/>
      <c r="C110" s="378"/>
      <c r="D110" s="379"/>
      <c r="E110" s="379"/>
      <c r="F110" s="379"/>
      <c r="G110" s="379"/>
      <c r="H110" s="380"/>
      <c r="I110" s="379"/>
    </row>
    <row r="111" spans="1:10" x14ac:dyDescent="0.25">
      <c r="B111" s="666"/>
      <c r="C111" s="378"/>
      <c r="D111" s="379"/>
      <c r="E111" s="379"/>
      <c r="F111" s="379"/>
      <c r="G111" s="379"/>
      <c r="H111" s="380"/>
      <c r="I111" s="379"/>
    </row>
    <row r="112" spans="1:10" x14ac:dyDescent="0.25">
      <c r="B112" s="666"/>
      <c r="C112" s="378"/>
      <c r="D112" s="379"/>
      <c r="E112" s="379"/>
      <c r="F112" s="379"/>
      <c r="G112" s="379"/>
      <c r="H112" s="380"/>
      <c r="I112" s="379"/>
    </row>
    <row r="113" spans="2:9" x14ac:dyDescent="0.25">
      <c r="B113" s="666"/>
      <c r="C113" s="378"/>
      <c r="D113" s="379"/>
      <c r="E113" s="379"/>
      <c r="F113" s="379"/>
      <c r="G113" s="379"/>
      <c r="H113" s="380"/>
      <c r="I113" s="379"/>
    </row>
    <row r="114" spans="2:9" x14ac:dyDescent="0.25">
      <c r="B114" s="666"/>
      <c r="C114" s="378"/>
      <c r="D114" s="379"/>
      <c r="E114" s="379"/>
      <c r="F114" s="379"/>
      <c r="G114" s="379"/>
      <c r="H114" s="380"/>
      <c r="I114" s="379"/>
    </row>
    <row r="115" spans="2:9" x14ac:dyDescent="0.25">
      <c r="B115" s="666"/>
      <c r="C115" s="378"/>
      <c r="D115" s="379"/>
      <c r="E115" s="379"/>
      <c r="F115" s="379"/>
      <c r="G115" s="379"/>
      <c r="H115" s="380"/>
      <c r="I115" s="379"/>
    </row>
    <row r="116" spans="2:9" x14ac:dyDescent="0.25">
      <c r="B116" s="666"/>
      <c r="C116" s="378"/>
      <c r="D116" s="379"/>
      <c r="E116" s="379"/>
      <c r="F116" s="379"/>
      <c r="G116" s="379"/>
      <c r="H116" s="380"/>
      <c r="I116" s="379"/>
    </row>
    <row r="117" spans="2:9" x14ac:dyDescent="0.25">
      <c r="B117" s="666"/>
      <c r="C117" s="378"/>
      <c r="D117" s="379"/>
      <c r="E117" s="379"/>
      <c r="F117" s="379"/>
      <c r="G117" s="379"/>
      <c r="H117" s="380"/>
      <c r="I117" s="379"/>
    </row>
    <row r="118" spans="2:9" x14ac:dyDescent="0.25">
      <c r="B118" s="666"/>
      <c r="C118" s="378"/>
      <c r="D118" s="379"/>
      <c r="E118" s="379"/>
      <c r="F118" s="379"/>
      <c r="G118" s="379"/>
      <c r="H118" s="380"/>
      <c r="I118" s="466"/>
    </row>
    <row r="119" spans="2:9" x14ac:dyDescent="0.25">
      <c r="B119" s="666"/>
      <c r="C119" s="378"/>
      <c r="D119" s="379"/>
      <c r="E119" s="379"/>
      <c r="F119" s="379"/>
      <c r="G119" s="379"/>
      <c r="H119" s="380"/>
      <c r="I119" s="379"/>
    </row>
    <row r="120" spans="2:9" x14ac:dyDescent="0.25">
      <c r="B120" s="666"/>
      <c r="C120" s="378"/>
      <c r="D120" s="379"/>
      <c r="E120" s="379"/>
      <c r="F120" s="379"/>
      <c r="G120" s="379"/>
      <c r="H120" s="380"/>
      <c r="I120" s="379"/>
    </row>
    <row r="121" spans="2:9" x14ac:dyDescent="0.25">
      <c r="B121" s="666"/>
      <c r="C121" s="378"/>
      <c r="D121" s="379"/>
      <c r="E121" s="379"/>
      <c r="F121" s="379"/>
      <c r="G121" s="379"/>
      <c r="H121" s="380"/>
      <c r="I121" s="379"/>
    </row>
    <row r="122" spans="2:9" x14ac:dyDescent="0.25">
      <c r="B122" s="666"/>
      <c r="C122" s="378"/>
      <c r="D122" s="379"/>
      <c r="E122" s="379"/>
      <c r="F122" s="379"/>
      <c r="G122" s="379"/>
      <c r="H122" s="380"/>
      <c r="I122" s="379"/>
    </row>
    <row r="123" spans="2:9" x14ac:dyDescent="0.25">
      <c r="B123" s="666"/>
      <c r="C123" s="378"/>
      <c r="D123" s="379"/>
      <c r="E123" s="379"/>
      <c r="F123" s="379"/>
      <c r="G123" s="379"/>
      <c r="H123" s="380"/>
      <c r="I123" s="379"/>
    </row>
    <row r="124" spans="2:9" x14ac:dyDescent="0.25">
      <c r="B124" s="666"/>
      <c r="C124" s="378"/>
      <c r="D124" s="379"/>
      <c r="E124" s="379"/>
      <c r="F124" s="379"/>
      <c r="G124" s="379"/>
      <c r="H124" s="380"/>
      <c r="I124" s="379"/>
    </row>
    <row r="125" spans="2:9" x14ac:dyDescent="0.25">
      <c r="B125" s="666"/>
      <c r="C125" s="378"/>
      <c r="D125" s="379"/>
      <c r="E125" s="379"/>
      <c r="F125" s="379"/>
      <c r="G125" s="379"/>
      <c r="H125" s="380"/>
      <c r="I125" s="379"/>
    </row>
    <row r="126" spans="2:9" x14ac:dyDescent="0.25">
      <c r="B126" s="666"/>
      <c r="C126" s="378"/>
      <c r="D126" s="379"/>
      <c r="E126" s="379"/>
      <c r="F126" s="379"/>
      <c r="G126" s="379"/>
      <c r="H126" s="380"/>
      <c r="I126" s="379"/>
    </row>
    <row r="127" spans="2:9" x14ac:dyDescent="0.25">
      <c r="B127" s="666"/>
      <c r="C127" s="378"/>
      <c r="D127" s="379"/>
      <c r="E127" s="379"/>
      <c r="F127" s="379"/>
      <c r="G127" s="379"/>
      <c r="H127" s="380"/>
      <c r="I127" s="379"/>
    </row>
    <row r="128" spans="2:9" x14ac:dyDescent="0.25">
      <c r="B128" s="666"/>
      <c r="C128" s="378"/>
      <c r="D128" s="379"/>
      <c r="E128" s="379"/>
      <c r="F128" s="379"/>
      <c r="G128" s="379"/>
      <c r="H128" s="380"/>
      <c r="I128" s="379"/>
    </row>
    <row r="129" spans="2:9" x14ac:dyDescent="0.25">
      <c r="B129" s="666"/>
      <c r="C129" s="378"/>
      <c r="D129" s="379"/>
      <c r="E129" s="379"/>
      <c r="F129" s="379"/>
      <c r="G129" s="379"/>
      <c r="H129" s="380"/>
      <c r="I129" s="379"/>
    </row>
    <row r="130" spans="2:9" x14ac:dyDescent="0.25">
      <c r="B130" s="666"/>
      <c r="C130" s="378"/>
      <c r="D130" s="379"/>
      <c r="E130" s="379"/>
      <c r="F130" s="379"/>
      <c r="G130" s="379"/>
      <c r="H130" s="380"/>
      <c r="I130" s="379"/>
    </row>
    <row r="131" spans="2:9" x14ac:dyDescent="0.25">
      <c r="B131" s="666"/>
      <c r="C131" s="378"/>
      <c r="D131" s="379"/>
      <c r="E131" s="379"/>
      <c r="F131" s="379"/>
      <c r="G131" s="379"/>
      <c r="H131" s="380"/>
      <c r="I131" s="379"/>
    </row>
    <row r="132" spans="2:9" x14ac:dyDescent="0.25">
      <c r="B132" s="666"/>
      <c r="C132" s="378"/>
      <c r="D132" s="379"/>
      <c r="E132" s="379"/>
      <c r="F132" s="379"/>
      <c r="G132" s="379"/>
      <c r="H132" s="380"/>
      <c r="I132" s="379"/>
    </row>
    <row r="133" spans="2:9" x14ac:dyDescent="0.25">
      <c r="B133" s="666"/>
      <c r="C133" s="378"/>
      <c r="D133" s="379"/>
      <c r="E133" s="379"/>
      <c r="F133" s="379"/>
      <c r="G133" s="379"/>
      <c r="H133" s="380"/>
      <c r="I133" s="379"/>
    </row>
    <row r="134" spans="2:9" x14ac:dyDescent="0.25">
      <c r="B134" s="666"/>
      <c r="C134" s="378"/>
      <c r="D134" s="379"/>
      <c r="E134" s="379"/>
      <c r="F134" s="379"/>
      <c r="G134" s="379"/>
      <c r="H134" s="380"/>
      <c r="I134" s="379"/>
    </row>
    <row r="135" spans="2:9" x14ac:dyDescent="0.25">
      <c r="B135" s="666"/>
      <c r="C135" s="378"/>
      <c r="D135" s="379"/>
      <c r="E135" s="379"/>
      <c r="F135" s="379"/>
      <c r="G135" s="379"/>
      <c r="H135" s="380"/>
      <c r="I135" s="379"/>
    </row>
    <row r="136" spans="2:9" x14ac:dyDescent="0.25">
      <c r="B136" s="666"/>
      <c r="C136" s="378"/>
      <c r="D136" s="379"/>
      <c r="E136" s="379"/>
      <c r="F136" s="379"/>
      <c r="G136" s="379"/>
      <c r="H136" s="380"/>
      <c r="I136" s="379"/>
    </row>
    <row r="137" spans="2:9" x14ac:dyDescent="0.25">
      <c r="B137" s="666"/>
      <c r="C137" s="378"/>
      <c r="D137" s="379"/>
      <c r="E137" s="379"/>
      <c r="F137" s="379"/>
      <c r="G137" s="379"/>
      <c r="H137" s="380"/>
      <c r="I137" s="379"/>
    </row>
    <row r="138" spans="2:9" x14ac:dyDescent="0.25">
      <c r="B138" s="666"/>
      <c r="C138" s="378"/>
      <c r="D138" s="379"/>
      <c r="E138" s="379"/>
      <c r="F138" s="379"/>
      <c r="G138" s="379"/>
      <c r="H138" s="380"/>
      <c r="I138" s="379"/>
    </row>
    <row r="139" spans="2:9" x14ac:dyDescent="0.25">
      <c r="B139" s="666"/>
      <c r="C139" s="378"/>
      <c r="D139" s="379"/>
      <c r="E139" s="379"/>
      <c r="F139" s="379"/>
      <c r="G139" s="379"/>
      <c r="H139" s="380"/>
      <c r="I139" s="379"/>
    </row>
    <row r="140" spans="2:9" x14ac:dyDescent="0.25">
      <c r="B140" s="666"/>
      <c r="C140" s="378"/>
      <c r="D140" s="379"/>
      <c r="E140" s="379"/>
      <c r="F140" s="379"/>
      <c r="G140" s="379"/>
      <c r="H140" s="380"/>
      <c r="I140" s="37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21" priority="43">
      <formula>F33&gt;0</formula>
    </cfRule>
    <cfRule type="expression" dxfId="720" priority="44">
      <formula>F33&lt;0</formula>
    </cfRule>
  </conditionalFormatting>
  <conditionalFormatting sqref="Q7">
    <cfRule type="expression" dxfId="719" priority="41">
      <formula>Q7&gt;0</formula>
    </cfRule>
    <cfRule type="expression" dxfId="718" priority="42">
      <formula>Q7&lt;0</formula>
    </cfRule>
  </conditionalFormatting>
  <conditionalFormatting sqref="Q8">
    <cfRule type="expression" dxfId="717" priority="39">
      <formula>Q8&gt;0</formula>
    </cfRule>
    <cfRule type="expression" dxfId="716" priority="40">
      <formula>Q8&lt;0</formula>
    </cfRule>
  </conditionalFormatting>
  <conditionalFormatting sqref="F29 F32">
    <cfRule type="expression" dxfId="715" priority="37">
      <formula>F29&gt;0</formula>
    </cfRule>
    <cfRule type="expression" dxfId="714" priority="38">
      <formula>F29&lt;0</formula>
    </cfRule>
  </conditionalFormatting>
  <conditionalFormatting sqref="H29 H32">
    <cfRule type="expression" dxfId="713" priority="35">
      <formula>H29&gt;0</formula>
    </cfRule>
    <cfRule type="expression" dxfId="712" priority="36">
      <formula>H29&lt;0</formula>
    </cfRule>
  </conditionalFormatting>
  <conditionalFormatting sqref="F30:F31">
    <cfRule type="expression" dxfId="711" priority="33">
      <formula>F30&gt;0</formula>
    </cfRule>
    <cfRule type="expression" dxfId="710" priority="34">
      <formula>F30&lt;0</formula>
    </cfRule>
  </conditionalFormatting>
  <conditionalFormatting sqref="H30:H31">
    <cfRule type="expression" dxfId="709" priority="31">
      <formula>H30&gt;0</formula>
    </cfRule>
    <cfRule type="expression" dxfId="708" priority="32">
      <formula>H30&lt;0</formula>
    </cfRule>
  </conditionalFormatting>
  <conditionalFormatting sqref="F105:F140 H105:H140">
    <cfRule type="expression" dxfId="707" priority="29">
      <formula>F105&gt;0</formula>
    </cfRule>
    <cfRule type="expression" dxfId="706" priority="30">
      <formula>F105&lt;0</formula>
    </cfRule>
  </conditionalFormatting>
  <conditionalFormatting sqref="F96:F99">
    <cfRule type="expression" dxfId="705" priority="27">
      <formula>F96&gt;0</formula>
    </cfRule>
    <cfRule type="expression" dxfId="704" priority="28">
      <formula>F96&lt;0</formula>
    </cfRule>
  </conditionalFormatting>
  <conditionalFormatting sqref="H96:H99">
    <cfRule type="expression" dxfId="703" priority="25">
      <formula>H96&gt;0</formula>
    </cfRule>
    <cfRule type="expression" dxfId="702" priority="26">
      <formula>H96&lt;0</formula>
    </cfRule>
  </conditionalFormatting>
  <conditionalFormatting sqref="F25:F28">
    <cfRule type="expression" dxfId="701" priority="19">
      <formula>F25&gt;0</formula>
    </cfRule>
    <cfRule type="expression" dxfId="700" priority="20">
      <formula>F25&lt;0</formula>
    </cfRule>
  </conditionalFormatting>
  <conditionalFormatting sqref="H25:H28">
    <cfRule type="expression" dxfId="699" priority="17">
      <formula>H25&gt;0</formula>
    </cfRule>
    <cfRule type="expression" dxfId="698" priority="18">
      <formula>H25&lt;0</formula>
    </cfRule>
  </conditionalFormatting>
  <conditionalFormatting sqref="J27">
    <cfRule type="expression" dxfId="697" priority="15">
      <formula>J27&gt;0</formula>
    </cfRule>
    <cfRule type="expression" dxfId="696" priority="16">
      <formula>J27&lt;0</formula>
    </cfRule>
  </conditionalFormatting>
  <conditionalFormatting sqref="F104">
    <cfRule type="expression" dxfId="695" priority="13">
      <formula>F104&gt;0</formula>
    </cfRule>
    <cfRule type="expression" dxfId="694" priority="14">
      <formula>F104&lt;0</formula>
    </cfRule>
  </conditionalFormatting>
  <conditionalFormatting sqref="H104">
    <cfRule type="expression" dxfId="693" priority="11">
      <formula>H104&gt;0</formula>
    </cfRule>
    <cfRule type="expression" dxfId="692" priority="12">
      <formula>H104&lt;0</formula>
    </cfRule>
  </conditionalFormatting>
  <conditionalFormatting sqref="F100:F103">
    <cfRule type="expression" dxfId="691" priority="9">
      <formula>F100&gt;0</formula>
    </cfRule>
    <cfRule type="expression" dxfId="690" priority="10">
      <formula>F100&lt;0</formula>
    </cfRule>
  </conditionalFormatting>
  <conditionalFormatting sqref="H100:H103">
    <cfRule type="expression" dxfId="689" priority="7">
      <formula>H100&gt;0</formula>
    </cfRule>
    <cfRule type="expression" dxfId="688" priority="8">
      <formula>H100&lt;0</formula>
    </cfRule>
  </conditionalFormatting>
  <conditionalFormatting sqref="J102">
    <cfRule type="expression" dxfId="687" priority="5">
      <formula>J102&gt;0</formula>
    </cfRule>
    <cfRule type="expression" dxfId="686" priority="6">
      <formula>J102&lt;0</formula>
    </cfRule>
  </conditionalFormatting>
  <conditionalFormatting sqref="Q10">
    <cfRule type="expression" dxfId="685" priority="3">
      <formula>Q10&gt;0</formula>
    </cfRule>
    <cfRule type="expression" dxfId="684" priority="4">
      <formula>Q10&lt;0</formula>
    </cfRule>
  </conditionalFormatting>
  <conditionalFormatting sqref="M71">
    <cfRule type="expression" dxfId="683" priority="1">
      <formula>M71&gt;0</formula>
    </cfRule>
    <cfRule type="expression" dxfId="68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customWidth="1"/>
    <col min="21" max="21" width="36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40">
        <v>42797</v>
      </c>
      <c r="X2" s="141">
        <v>57.8</v>
      </c>
      <c r="Y2" s="141">
        <v>57.8</v>
      </c>
      <c r="Z2" s="10">
        <v>56.51</v>
      </c>
      <c r="AA2" s="10">
        <v>56.7</v>
      </c>
      <c r="AB2" s="94">
        <v>9181600</v>
      </c>
      <c r="AC2" s="10">
        <v>56.7</v>
      </c>
      <c r="AE2" s="137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56.43</v>
      </c>
      <c r="W3" s="132">
        <v>42796</v>
      </c>
      <c r="X3" s="10">
        <v>57.9</v>
      </c>
      <c r="Y3" s="10">
        <v>58.25</v>
      </c>
      <c r="Z3" s="10">
        <v>57.65</v>
      </c>
      <c r="AA3" s="10">
        <v>57.8</v>
      </c>
      <c r="AB3" s="94">
        <v>6438400</v>
      </c>
      <c r="AC3" s="10">
        <v>57.8</v>
      </c>
      <c r="AE3" s="137"/>
      <c r="AL3" s="233"/>
      <c r="AO3" s="233"/>
    </row>
    <row r="4" spans="1:42" x14ac:dyDescent="0.25">
      <c r="B4" s="4"/>
      <c r="C4" s="4"/>
      <c r="D4" s="4"/>
      <c r="E4" s="4"/>
      <c r="F4" s="4"/>
      <c r="G4" s="73"/>
      <c r="H4" s="184"/>
      <c r="I4" s="3"/>
      <c r="J4" s="3"/>
      <c r="K4" s="3"/>
      <c r="L4" s="4"/>
      <c r="M4" s="4"/>
      <c r="O4" s="11" t="s">
        <v>66</v>
      </c>
      <c r="Q4" s="200">
        <v>56.43</v>
      </c>
      <c r="R4" s="499">
        <v>1.1999999999999999E-3</v>
      </c>
      <c r="T4" s="1"/>
      <c r="W4" s="132">
        <v>42796</v>
      </c>
      <c r="X4" s="10" t="s">
        <v>284</v>
      </c>
      <c r="Y4" s="10"/>
      <c r="Z4" s="10"/>
      <c r="AA4" s="10"/>
      <c r="AB4" s="94"/>
      <c r="AC4" s="10"/>
      <c r="AE4" s="137"/>
      <c r="AL4" s="233"/>
      <c r="AO4" s="233"/>
    </row>
    <row r="5" spans="1:4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42795</v>
      </c>
      <c r="X5" s="10">
        <v>57.86</v>
      </c>
      <c r="Y5" s="10">
        <v>58.03</v>
      </c>
      <c r="Z5" s="10">
        <v>57.33</v>
      </c>
      <c r="AA5" s="10">
        <v>57.95</v>
      </c>
      <c r="AB5" s="94">
        <v>8558900</v>
      </c>
      <c r="AC5" s="10">
        <v>57.77</v>
      </c>
      <c r="AE5" s="137"/>
      <c r="AL5" s="233"/>
      <c r="AO5" s="233"/>
    </row>
    <row r="6" spans="1:4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42794</v>
      </c>
      <c r="X6" s="10">
        <v>57.37</v>
      </c>
      <c r="Y6" s="10">
        <v>57.55</v>
      </c>
      <c r="Z6" s="10">
        <v>56.86</v>
      </c>
      <c r="AA6" s="10">
        <v>57.16</v>
      </c>
      <c r="AB6" s="94">
        <v>7951300</v>
      </c>
      <c r="AC6" s="10">
        <v>56.98</v>
      </c>
      <c r="AE6" s="137"/>
      <c r="AL6" s="233"/>
      <c r="AO6" s="233"/>
    </row>
    <row r="7" spans="1:42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471.8799999999992</v>
      </c>
      <c r="R7">
        <v>0</v>
      </c>
      <c r="W7" s="132">
        <v>42793</v>
      </c>
      <c r="X7" s="10">
        <v>57.65</v>
      </c>
      <c r="Y7" s="10">
        <v>57.83</v>
      </c>
      <c r="Z7" s="10">
        <v>57.35</v>
      </c>
      <c r="AA7" s="10">
        <v>57.69</v>
      </c>
      <c r="AB7" s="94">
        <v>4375700</v>
      </c>
      <c r="AC7" s="10">
        <v>57.51</v>
      </c>
      <c r="AE7" s="137"/>
    </row>
    <row r="8" spans="1:42" x14ac:dyDescent="0.25">
      <c r="B8" s="4"/>
      <c r="C8" s="4"/>
      <c r="D8" s="4"/>
      <c r="E8" s="4"/>
      <c r="F8" s="4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42790</v>
      </c>
      <c r="X8" s="10">
        <v>57.39</v>
      </c>
      <c r="Y8" s="10">
        <v>58.42</v>
      </c>
      <c r="Z8" s="10">
        <v>57.07</v>
      </c>
      <c r="AA8" s="10">
        <v>57.86</v>
      </c>
      <c r="AB8" s="94">
        <v>9684500</v>
      </c>
      <c r="AC8" s="10">
        <v>57.68</v>
      </c>
      <c r="AE8" s="137"/>
      <c r="AL8" s="233"/>
      <c r="AO8" s="233"/>
      <c r="AP8" s="233"/>
    </row>
    <row r="9" spans="1:42" x14ac:dyDescent="0.25">
      <c r="H9" s="71"/>
      <c r="O9" s="11" t="s">
        <v>213</v>
      </c>
      <c r="Q9" s="137">
        <f>IF(Q2=0, 0, Q8/Q6)</f>
        <v>0</v>
      </c>
      <c r="W9" s="132">
        <v>42789</v>
      </c>
      <c r="X9" s="10">
        <v>58.11</v>
      </c>
      <c r="Y9" s="10">
        <v>58.4</v>
      </c>
      <c r="Z9" s="10">
        <v>57.27</v>
      </c>
      <c r="AA9" s="10">
        <v>57.39</v>
      </c>
      <c r="AB9" s="94">
        <v>12316300</v>
      </c>
      <c r="AC9" s="10">
        <v>57.21</v>
      </c>
      <c r="AE9" s="137"/>
    </row>
    <row r="10" spans="1:42" x14ac:dyDescent="0.25">
      <c r="H10" s="71"/>
      <c r="O10" s="11" t="s">
        <v>212</v>
      </c>
      <c r="P10" s="34"/>
      <c r="Q10" s="2">
        <f>M36</f>
        <v>471.8799999999992</v>
      </c>
      <c r="T10" s="11"/>
      <c r="W10" s="132">
        <v>42788</v>
      </c>
      <c r="X10" s="10">
        <v>57.48</v>
      </c>
      <c r="Y10" s="10">
        <v>58.38</v>
      </c>
      <c r="Z10" s="10">
        <v>57.36</v>
      </c>
      <c r="AA10" s="10">
        <v>58.24</v>
      </c>
      <c r="AB10" s="94">
        <v>10914100</v>
      </c>
      <c r="AC10" s="10">
        <v>58.06</v>
      </c>
      <c r="AE10" s="137"/>
      <c r="AL10" s="233"/>
      <c r="AO10" s="233"/>
    </row>
    <row r="11" spans="1:42" x14ac:dyDescent="0.25">
      <c r="H11" s="71"/>
      <c r="O11" s="11" t="s">
        <v>178</v>
      </c>
      <c r="P11" s="34"/>
      <c r="Q11" s="137">
        <f>IF(U58="N/A (N/A)", 0, VALUE(TRIM(CLEAN(MID(U58, FIND("(", U58)+1, 5)))))</f>
        <v>1.2500000000000001E-2</v>
      </c>
      <c r="T11" s="1"/>
      <c r="W11" s="132">
        <v>42787</v>
      </c>
      <c r="X11" s="10">
        <v>56.38</v>
      </c>
      <c r="Y11" s="10">
        <v>57.45</v>
      </c>
      <c r="Z11" s="10">
        <v>56.2</v>
      </c>
      <c r="AA11" s="10">
        <v>57.36</v>
      </c>
      <c r="AB11" s="94">
        <v>10955000</v>
      </c>
      <c r="AC11" s="10">
        <v>57.18</v>
      </c>
      <c r="AE11" s="137"/>
    </row>
    <row r="12" spans="1:42" x14ac:dyDescent="0.25">
      <c r="H12" s="71"/>
      <c r="W12" s="132">
        <v>42783</v>
      </c>
      <c r="X12" s="10">
        <v>56.12</v>
      </c>
      <c r="Y12" s="10">
        <v>56.8</v>
      </c>
      <c r="Z12" s="10">
        <v>55.86</v>
      </c>
      <c r="AA12" s="10">
        <v>56.75</v>
      </c>
      <c r="AB12" s="94">
        <v>12638000</v>
      </c>
      <c r="AC12" s="10">
        <v>56.57</v>
      </c>
      <c r="AE12" s="137"/>
      <c r="AL12" s="233"/>
      <c r="AO12" s="233"/>
    </row>
    <row r="13" spans="1:42" x14ac:dyDescent="0.25">
      <c r="H13" s="71"/>
      <c r="T13" s="1"/>
      <c r="W13" s="132">
        <v>42782</v>
      </c>
      <c r="X13" s="10">
        <v>56.88</v>
      </c>
      <c r="Y13" s="10">
        <v>56.92</v>
      </c>
      <c r="Z13" s="10">
        <v>56.1</v>
      </c>
      <c r="AA13" s="10">
        <v>56.29</v>
      </c>
      <c r="AB13" s="94">
        <v>8374200</v>
      </c>
      <c r="AC13" s="10">
        <v>56.12</v>
      </c>
      <c r="AE13" s="137"/>
    </row>
    <row r="14" spans="1:42" x14ac:dyDescent="0.25">
      <c r="H14" s="71"/>
      <c r="W14" s="132">
        <v>42781</v>
      </c>
      <c r="X14" s="10">
        <v>56.29</v>
      </c>
      <c r="Y14" s="10">
        <v>56.76</v>
      </c>
      <c r="Z14" s="10">
        <v>56.21</v>
      </c>
      <c r="AA14" s="10">
        <v>56.64</v>
      </c>
      <c r="AB14" s="94">
        <v>6652000</v>
      </c>
      <c r="AC14" s="10">
        <v>56.46</v>
      </c>
      <c r="AE14" s="137"/>
      <c r="AL14" s="233"/>
      <c r="AO14" s="233"/>
      <c r="AP14" s="233"/>
    </row>
    <row r="15" spans="1:42" x14ac:dyDescent="0.25">
      <c r="H15" s="71"/>
      <c r="W15" s="132">
        <v>42780</v>
      </c>
      <c r="X15" s="10">
        <v>55.92</v>
      </c>
      <c r="Y15" s="10">
        <v>56.69</v>
      </c>
      <c r="Z15" s="10">
        <v>55.83</v>
      </c>
      <c r="AA15" s="10">
        <v>56.45</v>
      </c>
      <c r="AB15" s="94">
        <v>8891400</v>
      </c>
      <c r="AC15" s="10">
        <v>56.27</v>
      </c>
      <c r="AE15" s="137"/>
    </row>
    <row r="16" spans="1:42" x14ac:dyDescent="0.25">
      <c r="H16" s="71"/>
      <c r="O16" s="2"/>
      <c r="P16" s="2"/>
      <c r="Q16" s="2"/>
      <c r="T16" s="69"/>
      <c r="W16" s="132">
        <v>42779</v>
      </c>
      <c r="X16" s="10">
        <v>56.17</v>
      </c>
      <c r="Y16" s="10">
        <v>56.34</v>
      </c>
      <c r="Z16" s="10">
        <v>55.75</v>
      </c>
      <c r="AA16" s="10">
        <v>56.09</v>
      </c>
      <c r="AB16" s="94">
        <v>7679800</v>
      </c>
      <c r="AC16" s="10">
        <v>55.92</v>
      </c>
      <c r="AE16" s="137"/>
    </row>
    <row r="17" spans="1:41" x14ac:dyDescent="0.25">
      <c r="H17" s="71"/>
      <c r="O17" s="2"/>
      <c r="P17" s="2"/>
      <c r="Q17" s="2"/>
      <c r="W17" s="132">
        <v>42776</v>
      </c>
      <c r="X17" s="10">
        <v>55.63</v>
      </c>
      <c r="Y17" s="10">
        <v>56.47</v>
      </c>
      <c r="Z17" s="10">
        <v>55.63</v>
      </c>
      <c r="AA17" s="10">
        <v>56.22</v>
      </c>
      <c r="AB17" s="94">
        <v>14973400</v>
      </c>
      <c r="AC17" s="10">
        <v>56.05</v>
      </c>
      <c r="AE17" s="137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42775</v>
      </c>
      <c r="X18" s="10">
        <v>53.88</v>
      </c>
      <c r="Y18" s="10">
        <v>55.7</v>
      </c>
      <c r="Z18" s="10">
        <v>53.88</v>
      </c>
      <c r="AA18" s="10">
        <v>55.31</v>
      </c>
      <c r="AB18" s="94">
        <v>14345400</v>
      </c>
      <c r="AC18" s="10">
        <v>55.14</v>
      </c>
      <c r="AE18" s="137"/>
      <c r="AL18" s="233"/>
      <c r="AO18" s="233"/>
    </row>
    <row r="19" spans="1:4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SumByColor($A$19,F2:F5)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O19" s="2"/>
      <c r="P19" s="2"/>
      <c r="Q19" s="2"/>
      <c r="W19" s="132">
        <v>42774</v>
      </c>
      <c r="X19" s="10">
        <v>52.74</v>
      </c>
      <c r="Y19" s="10">
        <v>53.94</v>
      </c>
      <c r="Z19" s="10">
        <v>52.7</v>
      </c>
      <c r="AA19" s="10">
        <v>53.88</v>
      </c>
      <c r="AB19" s="94">
        <v>9281100</v>
      </c>
      <c r="AC19" s="10">
        <v>53.71</v>
      </c>
      <c r="AE19" s="137"/>
    </row>
    <row r="20" spans="1:41" x14ac:dyDescent="0.25">
      <c r="O20" s="2"/>
      <c r="P20" s="2"/>
      <c r="Q20" s="2"/>
      <c r="W20" s="132">
        <v>42773</v>
      </c>
      <c r="X20" s="10">
        <v>53.07</v>
      </c>
      <c r="Y20" s="10">
        <v>53.28</v>
      </c>
      <c r="Z20" s="10">
        <v>52.67</v>
      </c>
      <c r="AA20" s="10">
        <v>52.81</v>
      </c>
      <c r="AB20" s="94">
        <v>6446900</v>
      </c>
      <c r="AC20" s="10">
        <v>52.65</v>
      </c>
      <c r="AE20" s="137"/>
    </row>
    <row r="21" spans="1:41" x14ac:dyDescent="0.25">
      <c r="O21" s="2"/>
      <c r="P21" s="2"/>
      <c r="Q21" s="2"/>
      <c r="W21" s="132">
        <v>42772</v>
      </c>
      <c r="X21" s="10">
        <v>52.09</v>
      </c>
      <c r="Y21" s="10">
        <v>52.8</v>
      </c>
      <c r="Z21" s="10">
        <v>52.05</v>
      </c>
      <c r="AA21" s="10">
        <v>52.8</v>
      </c>
      <c r="AB21" s="94">
        <v>7355200</v>
      </c>
      <c r="AC21" s="10">
        <v>52.64</v>
      </c>
      <c r="AE21" s="137"/>
    </row>
    <row r="22" spans="1:41" x14ac:dyDescent="0.25">
      <c r="B22" s="692" t="s">
        <v>114</v>
      </c>
      <c r="C22" s="692" t="s">
        <v>147</v>
      </c>
      <c r="D22" s="693" t="s">
        <v>146</v>
      </c>
      <c r="E22" s="694" t="s">
        <v>148</v>
      </c>
      <c r="F22" s="695" t="s">
        <v>65</v>
      </c>
      <c r="G22" s="696" t="s">
        <v>152</v>
      </c>
      <c r="H22" s="695" t="s">
        <v>88</v>
      </c>
      <c r="I22" s="696" t="s">
        <v>155</v>
      </c>
      <c r="O22" s="2"/>
      <c r="P22" s="2"/>
      <c r="Q22" s="2"/>
      <c r="W22" s="132">
        <v>42769</v>
      </c>
      <c r="X22" s="10">
        <v>52.62</v>
      </c>
      <c r="Y22" s="10">
        <v>52.81</v>
      </c>
      <c r="Z22" s="10">
        <v>52.25</v>
      </c>
      <c r="AA22" s="10">
        <v>52.36</v>
      </c>
      <c r="AB22" s="94">
        <v>8850400</v>
      </c>
      <c r="AC22" s="10">
        <v>52.2</v>
      </c>
      <c r="AE22" s="137"/>
    </row>
    <row r="23" spans="1:41" x14ac:dyDescent="0.25">
      <c r="B23" s="697"/>
      <c r="C23" s="9"/>
      <c r="D23" s="698"/>
      <c r="E23" s="41"/>
      <c r="F23" s="41"/>
      <c r="G23" s="41"/>
      <c r="H23" s="699"/>
      <c r="I23" s="41"/>
      <c r="O23" s="2"/>
      <c r="P23" s="2"/>
      <c r="Q23" s="2"/>
      <c r="W23" s="132">
        <v>42768</v>
      </c>
      <c r="X23" s="10">
        <v>53</v>
      </c>
      <c r="Y23" s="10">
        <v>53.01</v>
      </c>
      <c r="Z23" s="10">
        <v>52.48</v>
      </c>
      <c r="AA23" s="10">
        <v>52.8</v>
      </c>
      <c r="AB23" s="94">
        <v>7874200</v>
      </c>
      <c r="AC23" s="10">
        <v>52.64</v>
      </c>
      <c r="AE23" s="137"/>
    </row>
    <row r="24" spans="1:41" x14ac:dyDescent="0.25">
      <c r="B24" s="697"/>
      <c r="C24" s="9"/>
      <c r="D24" s="698"/>
      <c r="E24" s="41"/>
      <c r="F24" s="41"/>
      <c r="G24" s="41"/>
      <c r="H24" s="699"/>
      <c r="I24" s="41"/>
      <c r="O24" s="2"/>
      <c r="P24" s="2"/>
      <c r="Q24" s="2"/>
      <c r="W24" s="132">
        <v>42767</v>
      </c>
      <c r="X24" s="10">
        <v>52.98</v>
      </c>
      <c r="Y24" s="10">
        <v>53.26</v>
      </c>
      <c r="Z24" s="10">
        <v>52.61</v>
      </c>
      <c r="AA24" s="10">
        <v>53.02</v>
      </c>
      <c r="AB24" s="94">
        <v>8810900</v>
      </c>
      <c r="AC24" s="10">
        <v>52.86</v>
      </c>
      <c r="AE24" s="137"/>
    </row>
    <row r="25" spans="1:41" x14ac:dyDescent="0.25">
      <c r="B25" s="697"/>
      <c r="C25" s="9"/>
      <c r="D25" s="698"/>
      <c r="E25" s="41"/>
      <c r="F25" s="41"/>
      <c r="G25" s="41"/>
      <c r="H25" s="699"/>
      <c r="I25" s="41"/>
      <c r="O25" s="2"/>
      <c r="P25" s="2"/>
      <c r="Q25" s="2"/>
      <c r="W25" s="132">
        <v>42766</v>
      </c>
      <c r="X25" s="10">
        <v>51.68</v>
      </c>
      <c r="Y25" s="10">
        <v>52.9</v>
      </c>
      <c r="Z25" s="10">
        <v>51.63</v>
      </c>
      <c r="AA25" s="10">
        <v>52.9</v>
      </c>
      <c r="AB25" s="94">
        <v>12342900</v>
      </c>
      <c r="AC25" s="10">
        <v>52.74</v>
      </c>
      <c r="AE25" s="137"/>
    </row>
    <row r="26" spans="1:41" x14ac:dyDescent="0.25">
      <c r="B26" s="697"/>
      <c r="C26" s="9"/>
      <c r="D26" s="698"/>
      <c r="E26" s="41"/>
      <c r="F26" s="41"/>
      <c r="G26" s="41"/>
      <c r="H26" s="699"/>
      <c r="I26" s="41"/>
      <c r="O26" s="2"/>
      <c r="P26" s="2"/>
      <c r="Q26" s="2"/>
      <c r="W26" s="132">
        <v>42765</v>
      </c>
      <c r="X26" s="10">
        <v>52.78</v>
      </c>
      <c r="Y26" s="10">
        <v>53.22</v>
      </c>
      <c r="Z26" s="10">
        <v>52.41</v>
      </c>
      <c r="AA26" s="10">
        <v>53.08</v>
      </c>
      <c r="AB26" s="94">
        <v>9770800</v>
      </c>
      <c r="AC26" s="10">
        <v>52.92</v>
      </c>
      <c r="AE26" s="137"/>
    </row>
    <row r="27" spans="1:41" x14ac:dyDescent="0.25">
      <c r="B27" s="697"/>
      <c r="C27" s="9"/>
      <c r="D27" s="698"/>
      <c r="E27" s="41"/>
      <c r="F27" s="41"/>
      <c r="G27" s="41"/>
      <c r="H27" s="699"/>
      <c r="I27" s="41"/>
      <c r="O27" s="2"/>
      <c r="P27" s="2"/>
      <c r="Q27" s="2"/>
      <c r="W27" s="132">
        <v>42762</v>
      </c>
      <c r="X27" s="10">
        <v>53.68</v>
      </c>
      <c r="Y27" s="10">
        <v>54.08</v>
      </c>
      <c r="Z27" s="10">
        <v>53.03</v>
      </c>
      <c r="AA27" s="10">
        <v>53.19</v>
      </c>
      <c r="AB27" s="94">
        <v>7362000</v>
      </c>
      <c r="AC27" s="10">
        <v>53.02</v>
      </c>
      <c r="AE27" s="137"/>
    </row>
    <row r="28" spans="1:41" x14ac:dyDescent="0.25">
      <c r="B28" s="697"/>
      <c r="C28" s="9"/>
      <c r="D28" s="698"/>
      <c r="E28" s="41"/>
      <c r="F28" s="41"/>
      <c r="G28" s="41"/>
      <c r="H28" s="699"/>
      <c r="I28" s="41"/>
      <c r="O28" s="2"/>
      <c r="P28" s="2"/>
      <c r="Q28" s="2"/>
      <c r="W28" s="132">
        <v>42761</v>
      </c>
      <c r="X28" s="10">
        <v>54.11</v>
      </c>
      <c r="Y28" s="10">
        <v>54.12</v>
      </c>
      <c r="Z28" s="10">
        <v>53.36</v>
      </c>
      <c r="AA28" s="10">
        <v>53.65</v>
      </c>
      <c r="AB28" s="94">
        <v>6202000</v>
      </c>
      <c r="AC28" s="10">
        <v>53.48</v>
      </c>
      <c r="AE28" s="137"/>
    </row>
    <row r="29" spans="1:41" x14ac:dyDescent="0.25">
      <c r="B29" s="697"/>
      <c r="C29" s="9"/>
      <c r="D29" s="698"/>
      <c r="E29" s="41"/>
      <c r="F29" s="41"/>
      <c r="G29" s="41"/>
      <c r="H29" s="699"/>
      <c r="I29" s="41"/>
      <c r="W29" s="132">
        <v>42760</v>
      </c>
      <c r="X29" s="10">
        <v>53.73</v>
      </c>
      <c r="Y29" s="10">
        <v>54.12</v>
      </c>
      <c r="Z29" s="10">
        <v>53.69</v>
      </c>
      <c r="AA29" s="10">
        <v>53.86</v>
      </c>
      <c r="AB29" s="94">
        <v>6675000</v>
      </c>
      <c r="AC29" s="10">
        <v>53.69</v>
      </c>
      <c r="AE29" s="137"/>
    </row>
    <row r="30" spans="1:41" x14ac:dyDescent="0.25">
      <c r="B30" s="697"/>
      <c r="C30" s="9"/>
      <c r="D30" s="698"/>
      <c r="E30" s="41"/>
      <c r="F30" s="41"/>
      <c r="G30" s="41"/>
      <c r="H30" s="699"/>
      <c r="I30" s="41"/>
      <c r="W30" s="132">
        <v>42759</v>
      </c>
      <c r="X30" s="10">
        <v>53.02</v>
      </c>
      <c r="Y30" s="10">
        <v>53.57</v>
      </c>
      <c r="Z30" s="10">
        <v>52.99</v>
      </c>
      <c r="AA30" s="10">
        <v>53.45</v>
      </c>
      <c r="AB30" s="94">
        <v>6321300</v>
      </c>
      <c r="AC30" s="10">
        <v>53.28</v>
      </c>
      <c r="AE30" s="137"/>
    </row>
    <row r="31" spans="1:41" x14ac:dyDescent="0.25">
      <c r="B31" s="697"/>
      <c r="C31" s="9"/>
      <c r="D31" s="698"/>
      <c r="E31" s="41"/>
      <c r="F31" s="41"/>
      <c r="G31" s="41"/>
      <c r="H31" s="699"/>
      <c r="I31" s="41"/>
      <c r="W31" s="132">
        <v>42758</v>
      </c>
      <c r="X31" s="10">
        <v>53.02</v>
      </c>
      <c r="Y31" s="10">
        <v>53.26</v>
      </c>
      <c r="Z31" s="10">
        <v>52.72</v>
      </c>
      <c r="AA31" s="10">
        <v>53.24</v>
      </c>
      <c r="AB31" s="94">
        <v>7025700</v>
      </c>
      <c r="AC31" s="10">
        <v>53.07</v>
      </c>
      <c r="AE31" s="137"/>
    </row>
    <row r="32" spans="1:41" x14ac:dyDescent="0.25">
      <c r="B32" s="697"/>
      <c r="C32" s="9"/>
      <c r="D32" s="698"/>
      <c r="E32" s="41"/>
      <c r="F32" s="41"/>
      <c r="G32" s="41"/>
      <c r="H32" s="699"/>
      <c r="I32" s="41"/>
      <c r="W32" s="132">
        <v>42755</v>
      </c>
      <c r="X32" s="10">
        <v>53.22</v>
      </c>
      <c r="Y32" s="10">
        <v>53.35</v>
      </c>
      <c r="Z32" s="10">
        <v>52.9</v>
      </c>
      <c r="AA32" s="10">
        <v>53.2</v>
      </c>
      <c r="AB32" s="94">
        <v>7861000</v>
      </c>
      <c r="AC32" s="10">
        <v>53.03</v>
      </c>
      <c r="AE32" s="137"/>
    </row>
    <row r="33" spans="1:41" x14ac:dyDescent="0.25">
      <c r="B33" s="697"/>
      <c r="C33" s="9"/>
      <c r="D33" s="698"/>
      <c r="E33" s="41"/>
      <c r="F33" s="41"/>
      <c r="G33" s="41"/>
      <c r="H33" s="699"/>
      <c r="I33" s="41"/>
      <c r="W33" s="132">
        <v>42754</v>
      </c>
      <c r="X33" s="10">
        <v>53.84</v>
      </c>
      <c r="Y33" s="10">
        <v>53.94</v>
      </c>
      <c r="Z33" s="10">
        <v>52.89</v>
      </c>
      <c r="AA33" s="10">
        <v>52.93</v>
      </c>
      <c r="AB33" s="94">
        <v>8320600</v>
      </c>
      <c r="AC33" s="10">
        <v>52.77</v>
      </c>
      <c r="AE33" s="137"/>
    </row>
    <row r="34" spans="1:41" x14ac:dyDescent="0.25">
      <c r="B34" s="697"/>
      <c r="C34" s="9"/>
      <c r="D34" s="698"/>
      <c r="E34" s="41"/>
      <c r="F34" s="41"/>
      <c r="G34" s="41"/>
      <c r="H34" s="699"/>
      <c r="I34" s="41"/>
      <c r="W34" s="132">
        <v>42753</v>
      </c>
      <c r="X34" s="10">
        <v>53.86</v>
      </c>
      <c r="Y34" s="10">
        <v>53.89</v>
      </c>
      <c r="Z34" s="10">
        <v>52.86</v>
      </c>
      <c r="AA34" s="10">
        <v>53.27</v>
      </c>
      <c r="AB34" s="94">
        <v>6743100</v>
      </c>
      <c r="AC34" s="10">
        <v>53.1</v>
      </c>
      <c r="AE34" s="137"/>
    </row>
    <row r="35" spans="1:41" x14ac:dyDescent="0.25">
      <c r="W35" s="132">
        <v>42752</v>
      </c>
      <c r="X35" s="10">
        <v>53.4</v>
      </c>
      <c r="Y35" s="10">
        <v>53.95</v>
      </c>
      <c r="Z35" s="10">
        <v>53.01</v>
      </c>
      <c r="AA35" s="10">
        <v>53.65</v>
      </c>
      <c r="AB35" s="94">
        <v>9888500</v>
      </c>
      <c r="AC35" s="10">
        <v>53.48</v>
      </c>
      <c r="AE35" s="137"/>
    </row>
    <row r="36" spans="1:41" x14ac:dyDescent="0.25">
      <c r="L36" t="s">
        <v>65</v>
      </c>
      <c r="M36" s="2">
        <f>M54+K54-F54</f>
        <v>471.8799999999992</v>
      </c>
      <c r="W36" s="132">
        <v>42748</v>
      </c>
      <c r="X36" s="10">
        <v>52.59</v>
      </c>
      <c r="Y36" s="10">
        <v>52.93</v>
      </c>
      <c r="Z36" s="10">
        <v>52.23</v>
      </c>
      <c r="AA36" s="10">
        <v>52.92</v>
      </c>
      <c r="AB36" s="94">
        <v>6694400</v>
      </c>
      <c r="AC36" s="10">
        <v>52.76</v>
      </c>
      <c r="AE36" s="137"/>
      <c r="AL36" s="233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3" t="s">
        <v>7</v>
      </c>
      <c r="J37" s="493" t="s">
        <v>95</v>
      </c>
      <c r="K37" s="493" t="s">
        <v>61</v>
      </c>
      <c r="L37" s="32" t="s">
        <v>37</v>
      </c>
      <c r="M37" s="32" t="s">
        <v>38</v>
      </c>
      <c r="W37" s="132">
        <v>42747</v>
      </c>
      <c r="X37" s="10">
        <v>52.51</v>
      </c>
      <c r="Y37" s="10">
        <v>52.69</v>
      </c>
      <c r="Z37" s="10">
        <v>52.16</v>
      </c>
      <c r="AA37" s="10">
        <v>52.4</v>
      </c>
      <c r="AB37" s="94">
        <v>7368700</v>
      </c>
      <c r="AC37" s="10">
        <v>52.24</v>
      </c>
      <c r="AE37" s="137"/>
    </row>
    <row r="38" spans="1:41" x14ac:dyDescent="0.25">
      <c r="A38" s="264" t="s">
        <v>198</v>
      </c>
      <c r="B38" s="577">
        <v>42472</v>
      </c>
      <c r="C38" s="260">
        <v>50</v>
      </c>
      <c r="D38" s="261">
        <v>56.99</v>
      </c>
      <c r="E38" s="261">
        <v>0</v>
      </c>
      <c r="F38" s="261">
        <f t="shared" ref="F38:F46" si="0">C38*D38+E38</f>
        <v>2849.5</v>
      </c>
      <c r="G38" s="577">
        <v>42550</v>
      </c>
      <c r="H38" s="266">
        <v>50</v>
      </c>
      <c r="I38" s="261">
        <v>54.95</v>
      </c>
      <c r="J38" s="261">
        <v>7.01</v>
      </c>
      <c r="K38" s="261">
        <f>I38*H38-J38</f>
        <v>2740.49</v>
      </c>
      <c r="L38" s="265">
        <v>42556</v>
      </c>
      <c r="M38" s="261">
        <v>11.2</v>
      </c>
      <c r="W38" s="132">
        <v>42746</v>
      </c>
      <c r="X38" s="10">
        <v>53.12</v>
      </c>
      <c r="Y38" s="10">
        <v>53.29</v>
      </c>
      <c r="Z38" s="10">
        <v>52.67</v>
      </c>
      <c r="AA38" s="10">
        <v>52.69</v>
      </c>
      <c r="AB38" s="94">
        <v>8208300</v>
      </c>
      <c r="AC38" s="10">
        <v>52.53</v>
      </c>
      <c r="AE38" s="137"/>
    </row>
    <row r="39" spans="1:41" x14ac:dyDescent="0.25">
      <c r="A39" s="267" t="s">
        <v>71</v>
      </c>
      <c r="B39" s="577">
        <v>42521</v>
      </c>
      <c r="C39" s="260">
        <v>20</v>
      </c>
      <c r="D39" s="261">
        <v>55.21</v>
      </c>
      <c r="E39" s="261">
        <v>0</v>
      </c>
      <c r="F39" s="261">
        <f t="shared" si="0"/>
        <v>1104.2</v>
      </c>
      <c r="G39" s="577"/>
      <c r="H39" s="266"/>
      <c r="I39" s="261"/>
      <c r="J39" s="261"/>
      <c r="K39" s="261"/>
      <c r="L39" s="260"/>
      <c r="M39" s="260"/>
      <c r="W39" s="132">
        <v>42745</v>
      </c>
      <c r="X39" s="10">
        <v>53.55</v>
      </c>
      <c r="Y39" s="10">
        <v>53.73</v>
      </c>
      <c r="Z39" s="10">
        <v>53.11</v>
      </c>
      <c r="AA39" s="10">
        <v>53.11</v>
      </c>
      <c r="AB39" s="94">
        <v>8041900</v>
      </c>
      <c r="AC39" s="10">
        <v>52.95</v>
      </c>
      <c r="AE39" s="137"/>
    </row>
    <row r="40" spans="1:41" x14ac:dyDescent="0.25">
      <c r="A40" s="260"/>
      <c r="B40" s="577">
        <v>42524</v>
      </c>
      <c r="C40" s="260">
        <v>30</v>
      </c>
      <c r="D40" s="261">
        <v>53.75</v>
      </c>
      <c r="E40" s="261">
        <v>0</v>
      </c>
      <c r="F40" s="261">
        <f t="shared" si="0"/>
        <v>1612.5</v>
      </c>
      <c r="G40" s="577"/>
      <c r="H40" s="266"/>
      <c r="I40" s="261"/>
      <c r="J40" s="261"/>
      <c r="K40" s="261"/>
      <c r="L40" s="260"/>
      <c r="M40" s="260"/>
      <c r="W40" s="132">
        <v>42744</v>
      </c>
      <c r="X40" s="10">
        <v>53.96</v>
      </c>
      <c r="Y40" s="10">
        <v>53.99</v>
      </c>
      <c r="Z40" s="10">
        <v>53.22</v>
      </c>
      <c r="AA40" s="10">
        <v>53.38</v>
      </c>
      <c r="AB40" s="94">
        <v>8724800</v>
      </c>
      <c r="AC40" s="10">
        <v>53.21</v>
      </c>
      <c r="AE40" s="137"/>
    </row>
    <row r="41" spans="1:41" x14ac:dyDescent="0.25">
      <c r="A41" s="260"/>
      <c r="B41" s="577">
        <v>42524</v>
      </c>
      <c r="C41" s="260">
        <v>20</v>
      </c>
      <c r="D41" s="261">
        <v>53.4</v>
      </c>
      <c r="E41" s="261">
        <v>0</v>
      </c>
      <c r="F41" s="261">
        <f t="shared" si="0"/>
        <v>1068</v>
      </c>
      <c r="G41" s="577">
        <v>42563</v>
      </c>
      <c r="H41" s="266">
        <v>70</v>
      </c>
      <c r="I41" s="261">
        <v>57.78</v>
      </c>
      <c r="J41" s="261">
        <v>0.09</v>
      </c>
      <c r="K41" s="261">
        <f>I41*H41-J41</f>
        <v>4044.5099999999998</v>
      </c>
      <c r="L41" s="260"/>
      <c r="M41" s="260"/>
      <c r="W41" s="132">
        <v>42741</v>
      </c>
      <c r="X41" s="10">
        <v>53.09</v>
      </c>
      <c r="Y41" s="10">
        <v>54.09</v>
      </c>
      <c r="Z41" s="10">
        <v>52.98</v>
      </c>
      <c r="AA41" s="10">
        <v>53.91</v>
      </c>
      <c r="AB41" s="94">
        <v>12532400</v>
      </c>
      <c r="AC41" s="10">
        <v>53.74</v>
      </c>
      <c r="AE41" s="137"/>
    </row>
    <row r="42" spans="1:41" ht="20.25" thickBot="1" x14ac:dyDescent="0.35">
      <c r="A42" s="260"/>
      <c r="B42" s="577">
        <v>42545</v>
      </c>
      <c r="C42" s="260">
        <v>30</v>
      </c>
      <c r="D42" s="261">
        <v>52.38</v>
      </c>
      <c r="E42" s="261">
        <v>0</v>
      </c>
      <c r="F42" s="261">
        <f t="shared" si="0"/>
        <v>1571.4</v>
      </c>
      <c r="G42" s="577">
        <v>42593</v>
      </c>
      <c r="H42" s="266">
        <v>30</v>
      </c>
      <c r="I42" s="261">
        <v>56.38</v>
      </c>
      <c r="J42" s="261">
        <v>0.04</v>
      </c>
      <c r="K42" s="261">
        <f>I42*H42-J42</f>
        <v>1691.3600000000001</v>
      </c>
      <c r="L42" s="260"/>
      <c r="M42" s="260"/>
      <c r="T42" s="90" t="s">
        <v>113</v>
      </c>
      <c r="W42" s="132">
        <v>42740</v>
      </c>
      <c r="X42" s="10">
        <v>52.92</v>
      </c>
      <c r="Y42" s="10">
        <v>53.1</v>
      </c>
      <c r="Z42" s="10">
        <v>52.44</v>
      </c>
      <c r="AA42" s="10">
        <v>53.06</v>
      </c>
      <c r="AB42" s="94">
        <v>8682200</v>
      </c>
      <c r="AC42" s="10">
        <v>52.9</v>
      </c>
      <c r="AE42" s="137"/>
      <c r="AL42" s="233"/>
      <c r="AO42" s="233"/>
    </row>
    <row r="43" spans="1:41" ht="15.75" thickTop="1" x14ac:dyDescent="0.25">
      <c r="A43" s="260"/>
      <c r="B43" s="666">
        <v>42640</v>
      </c>
      <c r="C43" s="378">
        <v>20</v>
      </c>
      <c r="D43" s="379">
        <v>52.68</v>
      </c>
      <c r="E43" s="379">
        <v>0</v>
      </c>
      <c r="F43" s="379">
        <f t="shared" si="0"/>
        <v>1053.5999999999999</v>
      </c>
      <c r="G43" s="666">
        <v>42724</v>
      </c>
      <c r="H43" s="378">
        <v>20</v>
      </c>
      <c r="I43" s="379">
        <v>54.68</v>
      </c>
      <c r="J43" s="379">
        <v>0.02</v>
      </c>
      <c r="K43" s="379">
        <f>H43*I43-J43</f>
        <v>1093.58</v>
      </c>
      <c r="L43" s="377">
        <v>42739</v>
      </c>
      <c r="M43" s="379">
        <v>7.2</v>
      </c>
      <c r="T43" s="127" t="s">
        <v>98</v>
      </c>
      <c r="U43" s="128">
        <v>57.8</v>
      </c>
      <c r="W43" s="132">
        <v>42739</v>
      </c>
      <c r="X43" s="10">
        <v>52.23</v>
      </c>
      <c r="Y43" s="10">
        <v>53.35</v>
      </c>
      <c r="Z43" s="10">
        <v>52.09</v>
      </c>
      <c r="AA43" s="10">
        <v>53.07</v>
      </c>
      <c r="AB43" s="94">
        <v>13759500</v>
      </c>
      <c r="AC43" s="10">
        <v>52.91</v>
      </c>
      <c r="AE43" s="137"/>
    </row>
    <row r="44" spans="1:41" ht="20.25" thickBot="1" x14ac:dyDescent="0.35">
      <c r="A44" s="260"/>
      <c r="B44" s="666">
        <v>42640</v>
      </c>
      <c r="C44" s="378">
        <v>20</v>
      </c>
      <c r="D44" s="379">
        <v>52.68</v>
      </c>
      <c r="E44" s="379">
        <v>0</v>
      </c>
      <c r="F44" s="379">
        <f t="shared" si="0"/>
        <v>1053.5999999999999</v>
      </c>
      <c r="G44" s="666">
        <v>42741</v>
      </c>
      <c r="H44" s="382">
        <v>20</v>
      </c>
      <c r="I44" s="379">
        <v>53.94</v>
      </c>
      <c r="J44" s="379">
        <v>0.12</v>
      </c>
      <c r="K44" s="379">
        <f>H44*I44-J44</f>
        <v>1078.68</v>
      </c>
      <c r="L44" s="378"/>
      <c r="M44" s="378"/>
      <c r="O44" s="703" t="s">
        <v>78</v>
      </c>
      <c r="P44" s="703"/>
      <c r="T44" s="92" t="s">
        <v>99</v>
      </c>
      <c r="U44" s="129">
        <v>57.63</v>
      </c>
      <c r="W44" s="132">
        <v>42738</v>
      </c>
      <c r="X44" s="10">
        <v>51.99</v>
      </c>
      <c r="Y44" s="10">
        <v>52.5</v>
      </c>
      <c r="Z44" s="10">
        <v>51.77</v>
      </c>
      <c r="AA44" s="10">
        <v>51.98</v>
      </c>
      <c r="AB44" s="94">
        <v>13295600</v>
      </c>
      <c r="AC44" s="10">
        <v>51.82</v>
      </c>
      <c r="AE44" s="137"/>
    </row>
    <row r="45" spans="1:41" ht="15.75" thickTop="1" x14ac:dyDescent="0.25">
      <c r="A45" s="260"/>
      <c r="B45" s="700">
        <v>42724</v>
      </c>
      <c r="C45" s="556">
        <v>20</v>
      </c>
      <c r="D45" s="557">
        <v>52.68</v>
      </c>
      <c r="E45" s="557">
        <v>0</v>
      </c>
      <c r="F45" s="557">
        <f t="shared" si="0"/>
        <v>1053.5999999999999</v>
      </c>
      <c r="G45" s="700">
        <v>42774</v>
      </c>
      <c r="H45" s="558">
        <v>20</v>
      </c>
      <c r="I45" s="557">
        <v>53.88</v>
      </c>
      <c r="J45" s="557">
        <v>0.02</v>
      </c>
      <c r="K45" s="557">
        <f>I45*H45-J45</f>
        <v>1077.5800000000002</v>
      </c>
      <c r="L45" s="551"/>
      <c r="M45" s="557"/>
      <c r="O45" s="82">
        <v>1.1000000000000001</v>
      </c>
      <c r="P45" s="82">
        <f>O45*$Q$4</f>
        <v>62.073000000000008</v>
      </c>
      <c r="T45" s="92" t="s">
        <v>100</v>
      </c>
      <c r="U45" s="129" t="s">
        <v>129</v>
      </c>
      <c r="W45" s="132">
        <v>42734</v>
      </c>
      <c r="X45" s="10">
        <v>51.1</v>
      </c>
      <c r="Y45" s="10">
        <v>51.33</v>
      </c>
      <c r="Z45" s="10">
        <v>50.7</v>
      </c>
      <c r="AA45" s="10">
        <v>50.83</v>
      </c>
      <c r="AB45" s="94">
        <v>7384300</v>
      </c>
      <c r="AC45" s="10">
        <v>50.67</v>
      </c>
      <c r="AE45" s="137"/>
    </row>
    <row r="46" spans="1:41" x14ac:dyDescent="0.25">
      <c r="A46" s="260"/>
      <c r="B46" s="700">
        <v>42766</v>
      </c>
      <c r="C46" s="556">
        <v>20</v>
      </c>
      <c r="D46" s="557">
        <v>51.72</v>
      </c>
      <c r="E46" s="557">
        <v>0</v>
      </c>
      <c r="F46" s="557">
        <f t="shared" si="0"/>
        <v>1034.4000000000001</v>
      </c>
      <c r="G46" s="700">
        <v>42803</v>
      </c>
      <c r="H46" s="558">
        <v>20</v>
      </c>
      <c r="I46" s="557">
        <v>56.41</v>
      </c>
      <c r="J46" s="557">
        <v>0.12</v>
      </c>
      <c r="K46" s="557">
        <f>I46*H46-J46</f>
        <v>1128.08</v>
      </c>
      <c r="L46" s="556"/>
      <c r="M46" s="556"/>
      <c r="O46" s="82">
        <v>1.0900000000000001</v>
      </c>
      <c r="P46" s="82">
        <f t="shared" ref="P46:P65" si="1">O46*$Q$4</f>
        <v>61.508700000000005</v>
      </c>
      <c r="T46" s="92" t="s">
        <v>101</v>
      </c>
      <c r="U46" s="129" t="s">
        <v>129</v>
      </c>
      <c r="W46" s="132">
        <v>42733</v>
      </c>
      <c r="X46" s="10">
        <v>51</v>
      </c>
      <c r="Y46" s="10">
        <v>51.24</v>
      </c>
      <c r="Z46" s="10">
        <v>50.88</v>
      </c>
      <c r="AA46" s="10">
        <v>51.06</v>
      </c>
      <c r="AB46" s="94">
        <v>4680800</v>
      </c>
      <c r="AC46" s="10">
        <v>50.9</v>
      </c>
      <c r="AE46" s="137"/>
    </row>
    <row r="47" spans="1:41" x14ac:dyDescent="0.25">
      <c r="A47" s="260"/>
      <c r="B47" s="577"/>
      <c r="C47" s="260"/>
      <c r="D47" s="260"/>
      <c r="E47" s="260"/>
      <c r="F47" s="260"/>
      <c r="G47" s="577"/>
      <c r="H47" s="266"/>
      <c r="I47" s="261"/>
      <c r="J47" s="261"/>
      <c r="K47" s="261"/>
      <c r="L47" s="260"/>
      <c r="M47" s="260"/>
      <c r="O47" s="82">
        <v>1.08</v>
      </c>
      <c r="P47" s="82">
        <f t="shared" si="1"/>
        <v>60.944400000000002</v>
      </c>
      <c r="T47" s="92" t="s">
        <v>102</v>
      </c>
      <c r="U47" s="129">
        <v>62</v>
      </c>
      <c r="W47" s="132">
        <v>42732</v>
      </c>
      <c r="X47" s="10">
        <v>51.31</v>
      </c>
      <c r="Y47" s="10">
        <v>51.5</v>
      </c>
      <c r="Z47" s="10">
        <v>50.87</v>
      </c>
      <c r="AA47" s="10">
        <v>51.02</v>
      </c>
      <c r="AB47" s="94">
        <v>6318000</v>
      </c>
      <c r="AC47" s="10">
        <v>50.86</v>
      </c>
      <c r="AE47" s="137"/>
    </row>
    <row r="48" spans="1:41" x14ac:dyDescent="0.25">
      <c r="A48" s="260"/>
      <c r="B48" s="577"/>
      <c r="C48" s="260"/>
      <c r="D48" s="260"/>
      <c r="E48" s="260"/>
      <c r="F48" s="260"/>
      <c r="G48" s="577"/>
      <c r="H48" s="266"/>
      <c r="I48" s="261"/>
      <c r="J48" s="261"/>
      <c r="K48" s="261"/>
      <c r="L48" s="260"/>
      <c r="M48" s="260"/>
      <c r="O48" s="82">
        <v>1.07</v>
      </c>
      <c r="P48" s="82">
        <f t="shared" si="1"/>
        <v>60.380100000000006</v>
      </c>
      <c r="T48" s="92" t="s">
        <v>103</v>
      </c>
      <c r="U48" s="129">
        <v>0.424012</v>
      </c>
      <c r="W48" s="132">
        <v>42731</v>
      </c>
      <c r="X48" s="10">
        <v>51.8</v>
      </c>
      <c r="Y48" s="10">
        <v>52.25</v>
      </c>
      <c r="Z48" s="10">
        <v>51.2</v>
      </c>
      <c r="AA48" s="10">
        <v>51.29</v>
      </c>
      <c r="AB48" s="94">
        <v>8175000</v>
      </c>
      <c r="AC48" s="10">
        <v>51.13</v>
      </c>
      <c r="AE48" s="137"/>
    </row>
    <row r="49" spans="1:41" x14ac:dyDescent="0.25">
      <c r="A49" s="260"/>
      <c r="B49" s="577"/>
      <c r="C49" s="260"/>
      <c r="D49" s="260"/>
      <c r="E49" s="260"/>
      <c r="F49" s="260"/>
      <c r="G49" s="577"/>
      <c r="H49" s="266"/>
      <c r="I49" s="261"/>
      <c r="J49" s="261"/>
      <c r="K49" s="261"/>
      <c r="L49" s="260"/>
      <c r="M49" s="260"/>
      <c r="O49" s="82">
        <v>1.06</v>
      </c>
      <c r="P49" s="82">
        <f t="shared" si="1"/>
        <v>59.815800000000003</v>
      </c>
      <c r="T49" s="92" t="s">
        <v>104</v>
      </c>
      <c r="U49" s="129" t="s">
        <v>559</v>
      </c>
      <c r="W49" s="132">
        <v>42727</v>
      </c>
      <c r="X49" s="10">
        <v>51.99</v>
      </c>
      <c r="Y49" s="10">
        <v>52.35</v>
      </c>
      <c r="Z49" s="10">
        <v>51.67</v>
      </c>
      <c r="AA49" s="10">
        <v>51.91</v>
      </c>
      <c r="AB49" s="94">
        <v>9360800</v>
      </c>
      <c r="AC49" s="10">
        <v>51.75</v>
      </c>
      <c r="AE49" s="137"/>
    </row>
    <row r="50" spans="1:41" x14ac:dyDescent="0.25">
      <c r="A50" s="260"/>
      <c r="B50" s="577"/>
      <c r="C50" s="260"/>
      <c r="D50" s="260"/>
      <c r="E50" s="260"/>
      <c r="F50" s="260"/>
      <c r="G50" s="577"/>
      <c r="H50" s="266"/>
      <c r="I50" s="261"/>
      <c r="J50" s="261"/>
      <c r="K50" s="261"/>
      <c r="L50" s="260"/>
      <c r="M50" s="260"/>
      <c r="O50" s="82">
        <v>1.05</v>
      </c>
      <c r="P50" s="82">
        <f t="shared" si="1"/>
        <v>59.2515</v>
      </c>
      <c r="T50" s="92"/>
      <c r="U50" s="129"/>
      <c r="W50" s="132">
        <v>42726</v>
      </c>
      <c r="X50" s="10">
        <v>52.8</v>
      </c>
      <c r="Y50" s="10">
        <v>53</v>
      </c>
      <c r="Z50" s="10">
        <v>52.03</v>
      </c>
      <c r="AA50" s="10">
        <v>52.14</v>
      </c>
      <c r="AB50" s="94">
        <v>11798900</v>
      </c>
      <c r="AC50" s="10">
        <v>51.98</v>
      </c>
      <c r="AE50" s="137"/>
      <c r="AL50" s="233"/>
      <c r="AO50" s="233"/>
    </row>
    <row r="51" spans="1:41" x14ac:dyDescent="0.25">
      <c r="A51" s="260"/>
      <c r="B51" s="577"/>
      <c r="C51" s="260"/>
      <c r="D51" s="260"/>
      <c r="E51" s="260"/>
      <c r="F51" s="260"/>
      <c r="G51" s="577"/>
      <c r="H51" s="266"/>
      <c r="I51" s="261"/>
      <c r="J51" s="261"/>
      <c r="K51" s="261"/>
      <c r="L51" s="260"/>
      <c r="M51" s="260"/>
      <c r="O51" s="82">
        <v>1.04</v>
      </c>
      <c r="P51" s="82">
        <f t="shared" si="1"/>
        <v>58.687200000000004</v>
      </c>
      <c r="T51" s="92" t="s">
        <v>105</v>
      </c>
      <c r="U51" s="129" t="s">
        <v>641</v>
      </c>
      <c r="W51" s="132">
        <v>42725</v>
      </c>
      <c r="X51" s="10">
        <v>52.9</v>
      </c>
      <c r="Y51" s="10">
        <v>53.35</v>
      </c>
      <c r="Z51" s="10">
        <v>51.55</v>
      </c>
      <c r="AA51" s="10">
        <v>52.3</v>
      </c>
      <c r="AB51" s="94">
        <v>23236400</v>
      </c>
      <c r="AC51" s="10">
        <v>52.14</v>
      </c>
      <c r="AE51" s="137"/>
    </row>
    <row r="52" spans="1:41" x14ac:dyDescent="0.25">
      <c r="A52" s="260"/>
      <c r="B52" s="577"/>
      <c r="C52" s="260"/>
      <c r="D52" s="260"/>
      <c r="E52" s="260"/>
      <c r="F52" s="260"/>
      <c r="G52" s="577"/>
      <c r="H52" s="266"/>
      <c r="I52" s="261"/>
      <c r="J52" s="261"/>
      <c r="K52" s="261"/>
      <c r="L52" s="260"/>
      <c r="M52" s="260"/>
      <c r="O52" s="82">
        <v>1.03</v>
      </c>
      <c r="P52" s="82">
        <f t="shared" si="1"/>
        <v>58.122900000000001</v>
      </c>
      <c r="T52" s="92" t="s">
        <v>106</v>
      </c>
      <c r="U52" s="129" t="s">
        <v>347</v>
      </c>
      <c r="W52" s="132">
        <v>42724</v>
      </c>
      <c r="X52" s="10">
        <v>51.06</v>
      </c>
      <c r="Y52" s="10">
        <v>51.99</v>
      </c>
      <c r="Z52" s="10">
        <v>50.75</v>
      </c>
      <c r="AA52" s="10">
        <v>51.79</v>
      </c>
      <c r="AB52" s="94">
        <v>15984100</v>
      </c>
      <c r="AC52" s="10">
        <v>51.63</v>
      </c>
      <c r="AE52" s="137"/>
    </row>
    <row r="53" spans="1:41" x14ac:dyDescent="0.25">
      <c r="A53" s="260"/>
      <c r="B53" s="577"/>
      <c r="C53" s="260"/>
      <c r="D53" s="260"/>
      <c r="E53" s="260"/>
      <c r="F53" s="260"/>
      <c r="G53" s="577"/>
      <c r="H53" s="266"/>
      <c r="I53" s="261"/>
      <c r="J53" s="261"/>
      <c r="K53" s="261"/>
      <c r="L53" s="260"/>
      <c r="M53" s="260"/>
      <c r="O53" s="82">
        <v>1.02</v>
      </c>
      <c r="P53" s="82">
        <f t="shared" si="1"/>
        <v>57.558599999999998</v>
      </c>
      <c r="T53" s="92" t="s">
        <v>107</v>
      </c>
      <c r="U53" s="130">
        <v>9192475</v>
      </c>
      <c r="W53" s="132">
        <v>42723</v>
      </c>
      <c r="X53" s="10">
        <v>50.91</v>
      </c>
      <c r="Y53" s="10">
        <v>51.36</v>
      </c>
      <c r="Z53" s="10">
        <v>50.48</v>
      </c>
      <c r="AA53" s="10">
        <v>50.85</v>
      </c>
      <c r="AB53" s="94">
        <v>9451700</v>
      </c>
      <c r="AC53" s="10">
        <v>50.69</v>
      </c>
      <c r="AE53" s="137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18.399999999999999</v>
      </c>
      <c r="O54" s="82">
        <v>1.01</v>
      </c>
      <c r="P54" s="82">
        <f t="shared" si="1"/>
        <v>56.994300000000003</v>
      </c>
      <c r="T54" s="92" t="s">
        <v>110</v>
      </c>
      <c r="U54" s="130">
        <v>9496680</v>
      </c>
      <c r="W54" s="132">
        <v>42720</v>
      </c>
      <c r="X54" s="10">
        <v>51.6</v>
      </c>
      <c r="Y54" s="10">
        <v>51.64</v>
      </c>
      <c r="Z54" s="10">
        <v>50.67</v>
      </c>
      <c r="AA54" s="10">
        <v>50.92</v>
      </c>
      <c r="AB54" s="94">
        <v>13984900</v>
      </c>
      <c r="AC54" s="10">
        <v>50.76</v>
      </c>
      <c r="AE54" s="137"/>
      <c r="AL54" s="233"/>
      <c r="AO54" s="233"/>
    </row>
    <row r="55" spans="1:41" ht="15.75" thickBot="1" x14ac:dyDescent="0.3">
      <c r="A55" s="462" t="s">
        <v>197</v>
      </c>
      <c r="B55" s="463"/>
      <c r="C55" s="464">
        <f>SumByColor($A$19,C38:C53)</f>
        <v>0</v>
      </c>
      <c r="D55" s="464"/>
      <c r="E55" s="464"/>
      <c r="F55" s="465">
        <f>SumByColor($A$19,F38:F41)</f>
        <v>0</v>
      </c>
      <c r="G55" s="464"/>
      <c r="H55" s="464">
        <f>SumByColor($A$19,H38:H53)</f>
        <v>0</v>
      </c>
      <c r="I55" s="464"/>
      <c r="J55" s="464"/>
      <c r="K55" s="465">
        <f>SumByColor($A$19,K38:K53)</f>
        <v>0</v>
      </c>
      <c r="L55" s="464"/>
      <c r="M55" s="465">
        <f>SumByColor($A$19,M38:M53)</f>
        <v>0</v>
      </c>
      <c r="O55" s="82">
        <v>1</v>
      </c>
      <c r="P55" s="82">
        <f t="shared" si="1"/>
        <v>56.43</v>
      </c>
      <c r="T55" s="92" t="s">
        <v>108</v>
      </c>
      <c r="U55" s="129" t="s">
        <v>642</v>
      </c>
      <c r="W55" s="132">
        <v>42719</v>
      </c>
      <c r="X55" s="10">
        <v>52</v>
      </c>
      <c r="Y55" s="10">
        <v>52.04</v>
      </c>
      <c r="Z55" s="10">
        <v>51.09</v>
      </c>
      <c r="AA55" s="10">
        <v>51.29</v>
      </c>
      <c r="AB55" s="94">
        <v>9567500</v>
      </c>
      <c r="AC55" s="10">
        <v>51.13</v>
      </c>
      <c r="AE55" s="137"/>
    </row>
    <row r="56" spans="1:41" x14ac:dyDescent="0.25">
      <c r="O56" s="82">
        <v>0.99</v>
      </c>
      <c r="P56" s="82">
        <f t="shared" si="1"/>
        <v>55.865699999999997</v>
      </c>
      <c r="T56" s="92" t="s">
        <v>111</v>
      </c>
      <c r="U56" s="129">
        <v>25</v>
      </c>
      <c r="W56" s="132">
        <v>42718</v>
      </c>
      <c r="X56" s="10">
        <v>52.24</v>
      </c>
      <c r="Y56" s="10">
        <v>52.34</v>
      </c>
      <c r="Z56" s="10">
        <v>51.59</v>
      </c>
      <c r="AA56" s="10">
        <v>51.79</v>
      </c>
      <c r="AB56" s="94">
        <v>8012800</v>
      </c>
      <c r="AC56" s="10">
        <v>51.63</v>
      </c>
      <c r="AE56" s="137"/>
    </row>
    <row r="57" spans="1:41" x14ac:dyDescent="0.25">
      <c r="O57" s="82">
        <v>0.98</v>
      </c>
      <c r="P57" s="82">
        <f t="shared" si="1"/>
        <v>55.301400000000001</v>
      </c>
      <c r="T57" s="92" t="s">
        <v>112</v>
      </c>
      <c r="U57" s="129">
        <v>2.27</v>
      </c>
      <c r="W57" s="132">
        <v>42717</v>
      </c>
      <c r="X57" s="10">
        <v>51.83</v>
      </c>
      <c r="Y57" s="10">
        <v>53.22</v>
      </c>
      <c r="Z57" s="10">
        <v>51.83</v>
      </c>
      <c r="AA57" s="10">
        <v>52.3</v>
      </c>
      <c r="AB57" s="94">
        <v>11442300</v>
      </c>
      <c r="AC57" s="10">
        <v>52.14</v>
      </c>
      <c r="AE57" s="137"/>
    </row>
    <row r="58" spans="1:41" x14ac:dyDescent="0.25">
      <c r="O58" s="82">
        <v>0.97</v>
      </c>
      <c r="P58" s="82">
        <f t="shared" si="1"/>
        <v>54.737099999999998</v>
      </c>
      <c r="T58" s="92" t="s">
        <v>109</v>
      </c>
      <c r="U58" s="129" t="s">
        <v>560</v>
      </c>
      <c r="W58" s="132">
        <v>42716</v>
      </c>
      <c r="X58" s="10">
        <v>51.5</v>
      </c>
      <c r="Y58" s="10">
        <v>51.9</v>
      </c>
      <c r="Z58" s="10">
        <v>50.94</v>
      </c>
      <c r="AA58" s="10">
        <v>51.54</v>
      </c>
      <c r="AB58" s="94">
        <v>11459500</v>
      </c>
      <c r="AC58" s="10">
        <v>51.38</v>
      </c>
      <c r="AE58" s="137"/>
      <c r="AL58" s="233"/>
      <c r="AO58" s="233"/>
    </row>
    <row r="59" spans="1:41" x14ac:dyDescent="0.25">
      <c r="O59" s="82">
        <v>0.96</v>
      </c>
      <c r="P59" s="82">
        <f t="shared" si="1"/>
        <v>54.172799999999995</v>
      </c>
      <c r="W59" s="132">
        <v>42713</v>
      </c>
      <c r="X59" s="10">
        <v>51.76</v>
      </c>
      <c r="Y59" s="10">
        <v>51.97</v>
      </c>
      <c r="Z59" s="10">
        <v>51.5</v>
      </c>
      <c r="AA59" s="10">
        <v>51.72</v>
      </c>
      <c r="AB59" s="94">
        <v>5869800</v>
      </c>
      <c r="AC59" s="10">
        <v>51.56</v>
      </c>
      <c r="AE59" s="137"/>
    </row>
    <row r="60" spans="1:41" x14ac:dyDescent="0.25">
      <c r="O60" s="82">
        <v>0.95</v>
      </c>
      <c r="P60" s="82">
        <f t="shared" si="1"/>
        <v>53.608499999999999</v>
      </c>
      <c r="W60" s="132">
        <v>42712</v>
      </c>
      <c r="X60" s="10">
        <v>52.15</v>
      </c>
      <c r="Y60" s="10">
        <v>52.47</v>
      </c>
      <c r="Z60" s="10">
        <v>51.45</v>
      </c>
      <c r="AA60" s="10">
        <v>51.55</v>
      </c>
      <c r="AB60" s="94">
        <v>9260900</v>
      </c>
      <c r="AC60" s="10">
        <v>51.39</v>
      </c>
      <c r="AE60" s="137"/>
    </row>
    <row r="61" spans="1:41" x14ac:dyDescent="0.25">
      <c r="O61" s="82">
        <v>0.94</v>
      </c>
      <c r="P61" s="82">
        <f t="shared" si="1"/>
        <v>53.044199999999996</v>
      </c>
      <c r="W61" s="132">
        <v>42711</v>
      </c>
      <c r="X61" s="10">
        <v>50.79</v>
      </c>
      <c r="Y61" s="10">
        <v>52.25</v>
      </c>
      <c r="Z61" s="10">
        <v>50.6</v>
      </c>
      <c r="AA61" s="10">
        <v>52.1</v>
      </c>
      <c r="AB61" s="94">
        <v>10412600</v>
      </c>
      <c r="AC61" s="10">
        <v>51.94</v>
      </c>
      <c r="AE61" s="137"/>
    </row>
    <row r="62" spans="1:41" x14ac:dyDescent="0.25">
      <c r="O62" s="82">
        <v>0.93</v>
      </c>
      <c r="P62" s="82">
        <f t="shared" si="1"/>
        <v>52.479900000000001</v>
      </c>
      <c r="W62" s="132">
        <v>42710</v>
      </c>
      <c r="X62" s="10">
        <v>50.83</v>
      </c>
      <c r="Y62" s="10">
        <v>51.1</v>
      </c>
      <c r="Z62" s="10">
        <v>50.26</v>
      </c>
      <c r="AA62" s="10">
        <v>50.57</v>
      </c>
      <c r="AB62" s="94">
        <v>12496300</v>
      </c>
      <c r="AC62" s="10">
        <v>50.41</v>
      </c>
      <c r="AE62" s="137"/>
    </row>
    <row r="63" spans="1:41" x14ac:dyDescent="0.25">
      <c r="O63" s="82">
        <v>0.92</v>
      </c>
      <c r="P63" s="82">
        <f t="shared" si="1"/>
        <v>51.915600000000005</v>
      </c>
      <c r="W63" s="132">
        <v>42709</v>
      </c>
      <c r="X63" s="10">
        <v>50.8</v>
      </c>
      <c r="Y63" s="10">
        <v>52.27</v>
      </c>
      <c r="Z63" s="10">
        <v>50.7</v>
      </c>
      <c r="AA63" s="10">
        <v>51.85</v>
      </c>
      <c r="AB63" s="94">
        <v>12031200</v>
      </c>
      <c r="AC63" s="10">
        <v>51.69</v>
      </c>
      <c r="AE63" s="137"/>
    </row>
    <row r="64" spans="1:41" x14ac:dyDescent="0.25">
      <c r="O64" s="82">
        <v>0.91</v>
      </c>
      <c r="P64" s="82">
        <f t="shared" si="1"/>
        <v>51.351300000000002</v>
      </c>
      <c r="W64" s="132">
        <v>42706</v>
      </c>
      <c r="X64" s="10">
        <v>50.26</v>
      </c>
      <c r="Y64" s="10">
        <v>50.68</v>
      </c>
      <c r="Z64" s="10">
        <v>50.11</v>
      </c>
      <c r="AA64" s="10">
        <v>50.46</v>
      </c>
      <c r="AB64" s="94">
        <v>6933300</v>
      </c>
      <c r="AC64" s="10">
        <v>50.3</v>
      </c>
      <c r="AE64" s="137"/>
    </row>
    <row r="65" spans="15:31" x14ac:dyDescent="0.25">
      <c r="O65" s="82">
        <v>0.9</v>
      </c>
      <c r="P65" s="82">
        <f t="shared" si="1"/>
        <v>50.786999999999999</v>
      </c>
      <c r="W65" s="132">
        <v>42705</v>
      </c>
      <c r="X65" s="10">
        <v>50.11</v>
      </c>
      <c r="Y65" s="10">
        <v>51.25</v>
      </c>
      <c r="Z65" s="10">
        <v>50.06</v>
      </c>
      <c r="AA65" s="10">
        <v>50.65</v>
      </c>
      <c r="AB65" s="94">
        <v>7610100</v>
      </c>
      <c r="AC65" s="10">
        <v>50.49</v>
      </c>
      <c r="AE65" s="137"/>
    </row>
    <row r="66" spans="15:31" x14ac:dyDescent="0.25">
      <c r="W66" s="132">
        <v>42705</v>
      </c>
      <c r="X66" s="10" t="s">
        <v>284</v>
      </c>
      <c r="Y66" s="10"/>
      <c r="Z66" s="10"/>
      <c r="AA66" s="10"/>
      <c r="AB66" s="94"/>
      <c r="AC66" s="10"/>
      <c r="AE66" s="137"/>
    </row>
    <row r="67" spans="15:31" x14ac:dyDescent="0.25">
      <c r="W67" s="132">
        <v>42704</v>
      </c>
      <c r="X67" s="10">
        <v>50.52</v>
      </c>
      <c r="Y67" s="10">
        <v>50.81</v>
      </c>
      <c r="Z67" s="10">
        <v>50.07</v>
      </c>
      <c r="AA67" s="10">
        <v>50.07</v>
      </c>
      <c r="AB67" s="94">
        <v>8198400</v>
      </c>
      <c r="AC67" s="10">
        <v>49.74</v>
      </c>
      <c r="AE67" s="137"/>
    </row>
    <row r="68" spans="15:31" x14ac:dyDescent="0.25">
      <c r="W68" s="132">
        <v>42703</v>
      </c>
      <c r="X68" s="10">
        <v>51.2</v>
      </c>
      <c r="Y68" s="10">
        <v>51.37</v>
      </c>
      <c r="Z68" s="10">
        <v>50.57</v>
      </c>
      <c r="AA68" s="10">
        <v>50.63</v>
      </c>
      <c r="AB68" s="94">
        <v>6065700</v>
      </c>
      <c r="AC68" s="10">
        <v>50.29</v>
      </c>
      <c r="AE68" s="137"/>
    </row>
    <row r="69" spans="15:31" x14ac:dyDescent="0.25">
      <c r="W69" s="283">
        <v>42702</v>
      </c>
      <c r="X69">
        <v>51.44</v>
      </c>
      <c r="Y69">
        <v>51.44</v>
      </c>
      <c r="Z69">
        <v>50.61</v>
      </c>
      <c r="AA69">
        <v>51.01</v>
      </c>
      <c r="AB69" s="234">
        <v>8602100</v>
      </c>
      <c r="AC69">
        <v>50.67</v>
      </c>
    </row>
    <row r="70" spans="15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681" priority="43">
      <formula>F27&gt;0</formula>
    </cfRule>
    <cfRule type="expression" dxfId="680" priority="44">
      <formula>F27&lt;0</formula>
    </cfRule>
  </conditionalFormatting>
  <conditionalFormatting sqref="H27:H33">
    <cfRule type="expression" dxfId="679" priority="39">
      <formula>H27&gt;0</formula>
    </cfRule>
    <cfRule type="expression" dxfId="678" priority="40">
      <formula>H27&lt;0</formula>
    </cfRule>
  </conditionalFormatting>
  <conditionalFormatting sqref="F23:F26">
    <cfRule type="expression" dxfId="677" priority="25">
      <formula>F23&gt;0</formula>
    </cfRule>
    <cfRule type="expression" dxfId="676" priority="26">
      <formula>F23&lt;0</formula>
    </cfRule>
  </conditionalFormatting>
  <conditionalFormatting sqref="H23:H26">
    <cfRule type="expression" dxfId="675" priority="23">
      <formula>H23&gt;0</formula>
    </cfRule>
    <cfRule type="expression" dxfId="674" priority="24">
      <formula>H23&lt;0</formula>
    </cfRule>
  </conditionalFormatting>
  <conditionalFormatting sqref="Q8">
    <cfRule type="expression" dxfId="673" priority="19">
      <formula>Q8&gt;0</formula>
    </cfRule>
    <cfRule type="expression" dxfId="672" priority="20">
      <formula>Q8&lt;0</formula>
    </cfRule>
  </conditionalFormatting>
  <conditionalFormatting sqref="Q7">
    <cfRule type="expression" dxfId="671" priority="21">
      <formula>Q7&gt;0</formula>
    </cfRule>
    <cfRule type="expression" dxfId="670" priority="22">
      <formula>Q7&lt;0</formula>
    </cfRule>
  </conditionalFormatting>
  <conditionalFormatting sqref="F34">
    <cfRule type="expression" dxfId="669" priority="17">
      <formula>F34&gt;0</formula>
    </cfRule>
    <cfRule type="expression" dxfId="668" priority="18">
      <formula>F34&lt;0</formula>
    </cfRule>
  </conditionalFormatting>
  <conditionalFormatting sqref="H34">
    <cfRule type="expression" dxfId="667" priority="15">
      <formula>H34&gt;0</formula>
    </cfRule>
    <cfRule type="expression" dxfId="666" priority="16">
      <formula>H34&lt;0</formula>
    </cfRule>
  </conditionalFormatting>
  <conditionalFormatting sqref="M36">
    <cfRule type="expression" dxfId="665" priority="5">
      <formula>M36&gt;0</formula>
    </cfRule>
    <cfRule type="expression" dxfId="664" priority="6">
      <formula>M36&lt;0</formula>
    </cfRule>
  </conditionalFormatting>
  <conditionalFormatting sqref="Q10">
    <cfRule type="expression" dxfId="663" priority="1">
      <formula>Q10&gt;0</formula>
    </cfRule>
    <cfRule type="expression" dxfId="662" priority="2">
      <formula>Q10&lt;0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232</v>
      </c>
      <c r="B2" s="73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100</v>
      </c>
      <c r="T2" s="456" t="s">
        <v>244</v>
      </c>
      <c r="W2" s="132">
        <v>42797</v>
      </c>
      <c r="X2" s="10">
        <v>30.3</v>
      </c>
      <c r="Y2" s="10">
        <v>30.38</v>
      </c>
      <c r="Z2" s="10">
        <v>29.93</v>
      </c>
      <c r="AA2" s="10">
        <v>30.22</v>
      </c>
      <c r="AB2" s="94">
        <v>6506500</v>
      </c>
      <c r="AC2" s="10">
        <v>30.22</v>
      </c>
      <c r="AD2" s="2">
        <f>Y2-Z2</f>
        <v>0.44999999999999929</v>
      </c>
      <c r="AE2" s="137">
        <f>AC2/AC3-1</f>
        <v>-6.5746219592374144E-3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31.18</v>
      </c>
      <c r="T3" s="1"/>
      <c r="W3" s="132">
        <v>42796</v>
      </c>
      <c r="X3" s="10">
        <v>31.09</v>
      </c>
      <c r="Y3" s="10">
        <v>31.17</v>
      </c>
      <c r="Z3" s="10">
        <v>30.41</v>
      </c>
      <c r="AA3" s="10">
        <v>30.42</v>
      </c>
      <c r="AB3" s="94">
        <v>5348700</v>
      </c>
      <c r="AC3" s="10">
        <v>30.42</v>
      </c>
      <c r="AD3" s="2">
        <f t="shared" ref="AD3:AD66" si="0">Y3-Z3</f>
        <v>0.76000000000000156</v>
      </c>
      <c r="AE3" s="137">
        <f t="shared" ref="AE3:AE66" si="1">AC3/AC4-1</f>
        <v>-1.9658395101514681E-2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29.19</v>
      </c>
      <c r="R4" s="499">
        <v>6.6E-3</v>
      </c>
      <c r="T4" s="162"/>
      <c r="U4" s="1"/>
      <c r="W4" s="132">
        <v>42795</v>
      </c>
      <c r="X4" s="10">
        <v>31.6</v>
      </c>
      <c r="Y4" s="10">
        <v>31.9</v>
      </c>
      <c r="Z4" s="10">
        <v>30.94</v>
      </c>
      <c r="AA4" s="10">
        <v>31.03</v>
      </c>
      <c r="AB4" s="94">
        <v>6733200</v>
      </c>
      <c r="AC4" s="10">
        <v>31.03</v>
      </c>
      <c r="AD4" s="2">
        <f t="shared" si="0"/>
        <v>0.9599999999999973</v>
      </c>
      <c r="AE4" s="137">
        <f t="shared" si="1"/>
        <v>-5.1298493106765042E-3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2919</v>
      </c>
      <c r="W5" s="132">
        <v>42794</v>
      </c>
      <c r="X5" s="10">
        <v>31.24</v>
      </c>
      <c r="Y5" s="10">
        <v>31.86</v>
      </c>
      <c r="Z5" s="10">
        <v>31.08</v>
      </c>
      <c r="AA5" s="10">
        <v>31.19</v>
      </c>
      <c r="AB5" s="94">
        <v>8542000</v>
      </c>
      <c r="AC5" s="10">
        <v>31.19</v>
      </c>
      <c r="AD5" s="2">
        <f t="shared" si="0"/>
        <v>0.78000000000000114</v>
      </c>
      <c r="AE5" s="137" t="e">
        <f t="shared" si="1"/>
        <v>#DIV/0!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3118</v>
      </c>
      <c r="W6" s="132">
        <v>42794</v>
      </c>
      <c r="X6" s="10" t="s">
        <v>561</v>
      </c>
      <c r="Y6" s="10"/>
      <c r="Z6" s="10"/>
      <c r="AA6" s="10"/>
      <c r="AB6" s="94"/>
      <c r="AC6" s="10"/>
      <c r="AD6" s="2">
        <f t="shared" si="0"/>
        <v>0</v>
      </c>
      <c r="AE6" s="137">
        <f t="shared" si="1"/>
        <v>-1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1253.2599999999984</v>
      </c>
      <c r="R7">
        <v>100</v>
      </c>
      <c r="W7" s="132">
        <v>42793</v>
      </c>
      <c r="X7" s="10">
        <v>31.38</v>
      </c>
      <c r="Y7" s="10">
        <v>31.65</v>
      </c>
      <c r="Z7" s="10">
        <v>31.2</v>
      </c>
      <c r="AA7" s="10">
        <v>31.54</v>
      </c>
      <c r="AB7" s="94">
        <v>4690000</v>
      </c>
      <c r="AC7" s="10">
        <v>31.27</v>
      </c>
      <c r="AD7" s="2">
        <f t="shared" si="0"/>
        <v>0.44999999999999929</v>
      </c>
      <c r="AE7" s="137">
        <f t="shared" si="1"/>
        <v>3.8523274478330372E-3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-199</v>
      </c>
      <c r="W8" s="132">
        <v>42790</v>
      </c>
      <c r="X8" s="10">
        <v>31.47</v>
      </c>
      <c r="Y8" s="10">
        <v>31.56</v>
      </c>
      <c r="Z8" s="10">
        <v>31.04</v>
      </c>
      <c r="AA8" s="10">
        <v>31.42</v>
      </c>
      <c r="AB8" s="94">
        <v>4386000</v>
      </c>
      <c r="AC8" s="10">
        <v>31.15</v>
      </c>
      <c r="AD8" s="2">
        <f t="shared" si="0"/>
        <v>0.51999999999999957</v>
      </c>
      <c r="AE8" s="137">
        <f t="shared" si="1"/>
        <v>-1.267828843106189E-2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-6.3822963438101343E-2</v>
      </c>
      <c r="W9" s="132">
        <v>42789</v>
      </c>
      <c r="X9" s="10">
        <v>33.31</v>
      </c>
      <c r="Y9" s="10">
        <v>33.31</v>
      </c>
      <c r="Z9" s="10">
        <v>31.47</v>
      </c>
      <c r="AA9" s="10">
        <v>31.83</v>
      </c>
      <c r="AB9" s="94">
        <v>6941100</v>
      </c>
      <c r="AC9" s="10">
        <v>31.55</v>
      </c>
      <c r="AD9" s="2">
        <f t="shared" si="0"/>
        <v>1.8400000000000034</v>
      </c>
      <c r="AE9" s="137">
        <f t="shared" si="1"/>
        <v>-3.9281364190012269E-2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42788</v>
      </c>
      <c r="X10" s="10">
        <v>33.369999999999997</v>
      </c>
      <c r="Y10" s="10">
        <v>33.590000000000003</v>
      </c>
      <c r="Z10" s="10">
        <v>33.090000000000003</v>
      </c>
      <c r="AA10" s="10">
        <v>33.130000000000003</v>
      </c>
      <c r="AB10" s="94">
        <v>2381600</v>
      </c>
      <c r="AC10" s="10">
        <v>32.840000000000003</v>
      </c>
      <c r="AD10" s="2">
        <f t="shared" si="0"/>
        <v>0.5</v>
      </c>
      <c r="AE10" s="137">
        <f t="shared" si="1"/>
        <v>-1.5292353823088356E-2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1.9699999999999999E-2</v>
      </c>
      <c r="W11" s="132">
        <v>42787</v>
      </c>
      <c r="X11" s="10">
        <v>33.9</v>
      </c>
      <c r="Y11" s="10">
        <v>33.9</v>
      </c>
      <c r="Z11" s="10">
        <v>33.450000000000003</v>
      </c>
      <c r="AA11" s="10">
        <v>33.64</v>
      </c>
      <c r="AB11" s="94">
        <v>3024600</v>
      </c>
      <c r="AC11" s="10">
        <v>33.35</v>
      </c>
      <c r="AD11" s="2">
        <f t="shared" si="0"/>
        <v>0.44999999999999574</v>
      </c>
      <c r="AE11" s="137">
        <f t="shared" si="1"/>
        <v>1.5015015015016342E-3</v>
      </c>
    </row>
    <row r="12" spans="1:31" x14ac:dyDescent="0.25">
      <c r="H12" s="71"/>
      <c r="W12" s="132">
        <v>42783</v>
      </c>
      <c r="X12" s="10">
        <v>33.14</v>
      </c>
      <c r="Y12" s="10">
        <v>33.6</v>
      </c>
      <c r="Z12" s="10">
        <v>32.76</v>
      </c>
      <c r="AA12" s="10">
        <v>33.590000000000003</v>
      </c>
      <c r="AB12" s="94">
        <v>2771500</v>
      </c>
      <c r="AC12" s="10">
        <v>33.299999999999997</v>
      </c>
      <c r="AD12" s="2">
        <f t="shared" si="0"/>
        <v>0.84000000000000341</v>
      </c>
      <c r="AE12" s="137">
        <f t="shared" si="1"/>
        <v>1.3390139987827121E-2</v>
      </c>
    </row>
    <row r="13" spans="1:31" x14ac:dyDescent="0.25">
      <c r="H13" s="71"/>
      <c r="W13" s="132">
        <v>42782</v>
      </c>
      <c r="X13" s="10">
        <v>33.68</v>
      </c>
      <c r="Y13" s="10">
        <v>33.81</v>
      </c>
      <c r="Z13" s="10">
        <v>32.93</v>
      </c>
      <c r="AA13" s="10">
        <v>33.15</v>
      </c>
      <c r="AB13" s="94">
        <v>3699400</v>
      </c>
      <c r="AC13" s="10">
        <v>32.86</v>
      </c>
      <c r="AD13" s="2">
        <f t="shared" si="0"/>
        <v>0.88000000000000256</v>
      </c>
      <c r="AE13" s="137">
        <f t="shared" si="1"/>
        <v>-1.8811585547924836E-2</v>
      </c>
    </row>
    <row r="14" spans="1:31" x14ac:dyDescent="0.25">
      <c r="H14" s="71"/>
      <c r="W14" s="132">
        <v>42781</v>
      </c>
      <c r="X14" s="10">
        <v>34.01</v>
      </c>
      <c r="Y14" s="10">
        <v>34.04</v>
      </c>
      <c r="Z14" s="10">
        <v>33.369999999999997</v>
      </c>
      <c r="AA14" s="10">
        <v>33.78</v>
      </c>
      <c r="AB14" s="94">
        <v>4173500</v>
      </c>
      <c r="AC14" s="10">
        <v>33.49</v>
      </c>
      <c r="AD14" s="2">
        <f t="shared" si="0"/>
        <v>0.67000000000000171</v>
      </c>
      <c r="AE14" s="137">
        <f t="shared" si="1"/>
        <v>-6.8208778173189932E-3</v>
      </c>
    </row>
    <row r="15" spans="1:31" x14ac:dyDescent="0.25">
      <c r="H15" s="71"/>
      <c r="W15" s="132">
        <v>42780</v>
      </c>
      <c r="X15" s="10">
        <v>33.65</v>
      </c>
      <c r="Y15" s="10">
        <v>34.03</v>
      </c>
      <c r="Z15" s="10">
        <v>33.409999999999997</v>
      </c>
      <c r="AA15" s="10">
        <v>34.020000000000003</v>
      </c>
      <c r="AB15" s="94">
        <v>3403200</v>
      </c>
      <c r="AC15" s="10">
        <v>33.72</v>
      </c>
      <c r="AD15" s="2">
        <f t="shared" si="0"/>
        <v>0.62000000000000455</v>
      </c>
      <c r="AE15" s="137">
        <f t="shared" si="1"/>
        <v>7.7704722056186615E-3</v>
      </c>
    </row>
    <row r="16" spans="1:31" x14ac:dyDescent="0.25">
      <c r="H16" s="71"/>
      <c r="W16" s="132">
        <v>42779</v>
      </c>
      <c r="X16" s="10">
        <v>33.130000000000003</v>
      </c>
      <c r="Y16" s="10">
        <v>34.36</v>
      </c>
      <c r="Z16" s="10">
        <v>33.1</v>
      </c>
      <c r="AA16" s="10">
        <v>33.75</v>
      </c>
      <c r="AB16" s="94">
        <v>5985600</v>
      </c>
      <c r="AC16" s="10">
        <v>33.46</v>
      </c>
      <c r="AD16" s="2">
        <f t="shared" si="0"/>
        <v>1.259999999999998</v>
      </c>
      <c r="AE16" s="137">
        <f t="shared" si="1"/>
        <v>2.7325759901750013E-2</v>
      </c>
    </row>
    <row r="17" spans="1:31" x14ac:dyDescent="0.25">
      <c r="W17" s="132">
        <v>42776</v>
      </c>
      <c r="X17" s="10">
        <v>32.08</v>
      </c>
      <c r="Y17" s="10">
        <v>33.04</v>
      </c>
      <c r="Z17" s="10">
        <v>32.08</v>
      </c>
      <c r="AA17" s="10">
        <v>32.86</v>
      </c>
      <c r="AB17" s="94">
        <v>4616500</v>
      </c>
      <c r="AC17" s="10">
        <v>32.57</v>
      </c>
      <c r="AD17" s="2">
        <f t="shared" si="0"/>
        <v>0.96000000000000085</v>
      </c>
      <c r="AE17" s="137">
        <f t="shared" si="1"/>
        <v>3.2329635499207532E-2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3118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42775</v>
      </c>
      <c r="X18" s="10">
        <v>32.21</v>
      </c>
      <c r="Y18" s="10">
        <v>32.57</v>
      </c>
      <c r="Z18" s="10">
        <v>31.59</v>
      </c>
      <c r="AA18" s="10">
        <v>31.83</v>
      </c>
      <c r="AB18" s="94">
        <v>5003600</v>
      </c>
      <c r="AC18" s="10">
        <v>31.55</v>
      </c>
      <c r="AD18" s="2">
        <f t="shared" si="0"/>
        <v>0.98000000000000043</v>
      </c>
      <c r="AE18" s="137">
        <f t="shared" si="1"/>
        <v>-1.1901033510804848E-2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42774</v>
      </c>
      <c r="X19" s="10">
        <v>32.229999999999997</v>
      </c>
      <c r="Y19" s="10">
        <v>32.590000000000003</v>
      </c>
      <c r="Z19" s="10">
        <v>31.6</v>
      </c>
      <c r="AA19" s="10">
        <v>32.21</v>
      </c>
      <c r="AB19" s="94">
        <v>4806100</v>
      </c>
      <c r="AC19" s="10">
        <v>31.93</v>
      </c>
      <c r="AD19" s="2">
        <f t="shared" si="0"/>
        <v>0.99000000000000199</v>
      </c>
      <c r="AE19" s="137">
        <f t="shared" si="1"/>
        <v>-6.2597809076680999E-4</v>
      </c>
    </row>
    <row r="20" spans="1:31" x14ac:dyDescent="0.25">
      <c r="W20" s="132">
        <v>42773</v>
      </c>
      <c r="X20" s="10">
        <v>31.1</v>
      </c>
      <c r="Y20" s="10">
        <v>33.020000000000003</v>
      </c>
      <c r="Z20" s="10">
        <v>30.66</v>
      </c>
      <c r="AA20" s="10">
        <v>32.229999999999997</v>
      </c>
      <c r="AB20" s="94">
        <v>7328100</v>
      </c>
      <c r="AC20" s="10">
        <v>31.95</v>
      </c>
      <c r="AD20" s="2">
        <f t="shared" si="0"/>
        <v>2.360000000000003</v>
      </c>
      <c r="AE20" s="137">
        <f t="shared" si="1"/>
        <v>6.2992125984251413E-3</v>
      </c>
    </row>
    <row r="21" spans="1:31" x14ac:dyDescent="0.25">
      <c r="W21" s="132">
        <v>42772</v>
      </c>
      <c r="X21" s="10">
        <v>31.77</v>
      </c>
      <c r="Y21" s="10">
        <v>32.14</v>
      </c>
      <c r="Z21" s="10">
        <v>31.6</v>
      </c>
      <c r="AA21" s="10">
        <v>32.03</v>
      </c>
      <c r="AB21" s="94">
        <v>5790500</v>
      </c>
      <c r="AC21" s="10">
        <v>31.75</v>
      </c>
      <c r="AD21" s="2">
        <f t="shared" si="0"/>
        <v>0.53999999999999915</v>
      </c>
      <c r="AE21" s="137">
        <f t="shared" si="1"/>
        <v>5.7016154577129718E-3</v>
      </c>
    </row>
    <row r="22" spans="1:31" x14ac:dyDescent="0.25">
      <c r="B22" s="511" t="s">
        <v>114</v>
      </c>
      <c r="C22" s="511" t="s">
        <v>147</v>
      </c>
      <c r="D22" s="512" t="s">
        <v>146</v>
      </c>
      <c r="E22" s="513" t="s">
        <v>148</v>
      </c>
      <c r="F22" s="513" t="s">
        <v>65</v>
      </c>
      <c r="G22" s="515" t="s">
        <v>152</v>
      </c>
      <c r="H22" s="515" t="s">
        <v>88</v>
      </c>
      <c r="I22" s="515" t="s">
        <v>155</v>
      </c>
      <c r="W22" s="132">
        <v>42769</v>
      </c>
      <c r="X22" s="10">
        <v>31.53</v>
      </c>
      <c r="Y22" s="10">
        <v>31.95</v>
      </c>
      <c r="Z22" s="10">
        <v>31.51</v>
      </c>
      <c r="AA22" s="10">
        <v>31.85</v>
      </c>
      <c r="AB22" s="94">
        <v>4943300</v>
      </c>
      <c r="AC22" s="10">
        <v>31.57</v>
      </c>
      <c r="AD22" s="2">
        <f t="shared" si="0"/>
        <v>0.43999999999999773</v>
      </c>
      <c r="AE22" s="137">
        <f t="shared" si="1"/>
        <v>1.2508017960231044E-2</v>
      </c>
    </row>
    <row r="23" spans="1:31" x14ac:dyDescent="0.25">
      <c r="B23" s="551">
        <v>42754</v>
      </c>
      <c r="C23" s="556">
        <v>100</v>
      </c>
      <c r="D23" s="557">
        <v>27.58</v>
      </c>
      <c r="E23" s="557">
        <v>30.25</v>
      </c>
      <c r="F23" s="557">
        <f>C23*(E23-D23)</f>
        <v>267.00000000000017</v>
      </c>
      <c r="G23" s="557">
        <f>D23*C23</f>
        <v>2758</v>
      </c>
      <c r="H23" s="614">
        <f>(E23-D23)/D23</f>
        <v>9.6809282088469978E-2</v>
      </c>
      <c r="I23" s="557"/>
      <c r="W23" s="132">
        <v>42768</v>
      </c>
      <c r="X23" s="10">
        <v>31.59</v>
      </c>
      <c r="Y23" s="10">
        <v>31.68</v>
      </c>
      <c r="Z23" s="10">
        <v>30.76</v>
      </c>
      <c r="AA23" s="10">
        <v>31.45</v>
      </c>
      <c r="AB23" s="94">
        <v>2807800</v>
      </c>
      <c r="AC23" s="10">
        <v>31.18</v>
      </c>
      <c r="AD23" s="2">
        <f t="shared" si="0"/>
        <v>0.91999999999999815</v>
      </c>
      <c r="AE23" s="137">
        <f t="shared" si="1"/>
        <v>-7.0063694267515908E-3</v>
      </c>
    </row>
    <row r="24" spans="1:31" x14ac:dyDescent="0.25">
      <c r="B24" s="551">
        <v>42758</v>
      </c>
      <c r="C24" s="556">
        <v>100</v>
      </c>
      <c r="D24" s="557">
        <v>27.180700000000002</v>
      </c>
      <c r="E24" s="557">
        <v>31.55</v>
      </c>
      <c r="F24" s="557">
        <f>C24*(E24-D24)</f>
        <v>436.92999999999989</v>
      </c>
      <c r="G24" s="557">
        <f>D24*C24</f>
        <v>2718.07</v>
      </c>
      <c r="H24" s="614">
        <f>(E24-D24)/D24</f>
        <v>0.16075009105725749</v>
      </c>
      <c r="I24" s="557"/>
      <c r="W24" s="132">
        <v>42767</v>
      </c>
      <c r="X24" s="10">
        <v>31.38</v>
      </c>
      <c r="Y24" s="10">
        <v>31.96</v>
      </c>
      <c r="Z24" s="10">
        <v>31.07</v>
      </c>
      <c r="AA24" s="10">
        <v>31.68</v>
      </c>
      <c r="AB24" s="94">
        <v>3910900</v>
      </c>
      <c r="AC24" s="10">
        <v>31.4</v>
      </c>
      <c r="AD24" s="2">
        <f t="shared" si="0"/>
        <v>0.89000000000000057</v>
      </c>
      <c r="AE24" s="137">
        <f t="shared" si="1"/>
        <v>9.6463022508037621E-3</v>
      </c>
    </row>
    <row r="25" spans="1:31" x14ac:dyDescent="0.25">
      <c r="A25" t="s">
        <v>392</v>
      </c>
      <c r="B25" s="377">
        <v>42758</v>
      </c>
      <c r="C25" s="378">
        <v>100</v>
      </c>
      <c r="D25" s="379">
        <v>31.18</v>
      </c>
      <c r="E25" s="379">
        <v>31.55</v>
      </c>
      <c r="F25" s="379">
        <f>C25*(E25-D25)</f>
        <v>37.000000000000099</v>
      </c>
      <c r="G25" s="379">
        <f>D25*C25</f>
        <v>3118</v>
      </c>
      <c r="H25" s="380">
        <f>(E25-D25)/D25</f>
        <v>1.1866581141757569E-2</v>
      </c>
      <c r="I25" s="379"/>
      <c r="W25" s="132">
        <v>42766</v>
      </c>
      <c r="X25" s="10">
        <v>31.04</v>
      </c>
      <c r="Y25" s="10">
        <v>31.39</v>
      </c>
      <c r="Z25" s="10">
        <v>30.71</v>
      </c>
      <c r="AA25" s="10">
        <v>31.37</v>
      </c>
      <c r="AB25" s="94">
        <v>5095300</v>
      </c>
      <c r="AC25" s="10">
        <v>31.1</v>
      </c>
      <c r="AD25" s="2">
        <f t="shared" si="0"/>
        <v>0.67999999999999972</v>
      </c>
      <c r="AE25" s="137">
        <f t="shared" si="1"/>
        <v>1.3029315960912058E-2</v>
      </c>
    </row>
    <row r="26" spans="1:31" x14ac:dyDescent="0.25">
      <c r="A26" t="s">
        <v>392</v>
      </c>
      <c r="B26" s="377">
        <v>42760</v>
      </c>
      <c r="C26" s="378">
        <v>100</v>
      </c>
      <c r="D26" s="379">
        <v>31.18</v>
      </c>
      <c r="E26" s="379">
        <v>33.26</v>
      </c>
      <c r="F26" s="379">
        <f>C26*(E26-D26)</f>
        <v>207.99999999999983</v>
      </c>
      <c r="G26" s="379">
        <f>D26*C26</f>
        <v>3118</v>
      </c>
      <c r="H26" s="380">
        <f>(E26-D26)/D26</f>
        <v>6.6709429121231498E-2</v>
      </c>
      <c r="I26" s="379"/>
      <c r="W26" s="132">
        <v>42765</v>
      </c>
      <c r="X26" s="10">
        <v>31.15</v>
      </c>
      <c r="Y26" s="10">
        <v>31.15</v>
      </c>
      <c r="Z26" s="10">
        <v>30.71</v>
      </c>
      <c r="AA26" s="10">
        <v>30.97</v>
      </c>
      <c r="AB26" s="94">
        <v>3627100</v>
      </c>
      <c r="AC26" s="10">
        <v>30.7</v>
      </c>
      <c r="AD26" s="2">
        <f t="shared" si="0"/>
        <v>0.43999999999999773</v>
      </c>
      <c r="AE26" s="137">
        <f t="shared" si="1"/>
        <v>-1.4446227929374E-2</v>
      </c>
    </row>
    <row r="27" spans="1:31" x14ac:dyDescent="0.25">
      <c r="A27" t="s">
        <v>379</v>
      </c>
      <c r="B27" s="377">
        <v>42787</v>
      </c>
      <c r="C27" s="378">
        <v>100</v>
      </c>
      <c r="D27" s="379">
        <v>31.18</v>
      </c>
      <c r="E27" s="379">
        <v>33.64</v>
      </c>
      <c r="F27" s="379">
        <f>C27*(E27-D27)</f>
        <v>246.00000000000009</v>
      </c>
      <c r="G27" s="379">
        <f>D27*C27</f>
        <v>3118</v>
      </c>
      <c r="H27" s="380">
        <f>(E27-D27)/D27</f>
        <v>7.8896728672225816E-2</v>
      </c>
      <c r="I27" s="379"/>
      <c r="W27" s="132">
        <v>42762</v>
      </c>
      <c r="X27" s="10">
        <v>31.82</v>
      </c>
      <c r="Y27" s="10">
        <v>31.99</v>
      </c>
      <c r="Z27" s="10">
        <v>31.12</v>
      </c>
      <c r="AA27" s="10">
        <v>31.42</v>
      </c>
      <c r="AB27" s="94">
        <v>4891000</v>
      </c>
      <c r="AC27" s="10">
        <v>31.15</v>
      </c>
      <c r="AD27" s="2">
        <f t="shared" si="0"/>
        <v>0.86999999999999744</v>
      </c>
      <c r="AE27" s="137">
        <f t="shared" si="1"/>
        <v>-1.2991128010139463E-2</v>
      </c>
    </row>
    <row r="28" spans="1:31" x14ac:dyDescent="0.25">
      <c r="B28" s="377"/>
      <c r="C28" s="378"/>
      <c r="D28" s="379"/>
      <c r="E28" s="379"/>
      <c r="F28" s="379"/>
      <c r="G28" s="379"/>
      <c r="H28" s="380"/>
      <c r="I28" s="379"/>
      <c r="W28" s="132">
        <v>42761</v>
      </c>
      <c r="X28" s="10">
        <v>32.01</v>
      </c>
      <c r="Y28" s="10">
        <v>32.340000000000003</v>
      </c>
      <c r="Z28" s="10">
        <v>31.43</v>
      </c>
      <c r="AA28" s="10">
        <v>31.84</v>
      </c>
      <c r="AB28" s="94">
        <v>8221800</v>
      </c>
      <c r="AC28" s="10">
        <v>31.56</v>
      </c>
      <c r="AD28" s="2">
        <f t="shared" si="0"/>
        <v>0.91000000000000369</v>
      </c>
      <c r="AE28" s="137">
        <f t="shared" si="1"/>
        <v>-4.2766151046405798E-2</v>
      </c>
    </row>
    <row r="29" spans="1:31" x14ac:dyDescent="0.25">
      <c r="B29" s="377"/>
      <c r="C29" s="378"/>
      <c r="D29" s="379"/>
      <c r="E29" s="379"/>
      <c r="F29" s="379"/>
      <c r="G29" s="379"/>
      <c r="H29" s="380"/>
      <c r="I29" s="379"/>
      <c r="W29" s="132">
        <v>42760</v>
      </c>
      <c r="X29" s="10">
        <v>33.5</v>
      </c>
      <c r="Y29" s="10">
        <v>33.93</v>
      </c>
      <c r="Z29" s="10">
        <v>32.93</v>
      </c>
      <c r="AA29" s="10">
        <v>33.26</v>
      </c>
      <c r="AB29" s="94">
        <v>7093300</v>
      </c>
      <c r="AC29" s="10">
        <v>32.97</v>
      </c>
      <c r="AD29" s="2">
        <f t="shared" si="0"/>
        <v>1</v>
      </c>
      <c r="AE29" s="137">
        <f t="shared" si="1"/>
        <v>-5.7297949336548859E-3</v>
      </c>
    </row>
    <row r="30" spans="1:31" x14ac:dyDescent="0.25">
      <c r="B30" s="377"/>
      <c r="C30" s="378"/>
      <c r="D30" s="379"/>
      <c r="E30" s="379"/>
      <c r="F30" s="379"/>
      <c r="G30" s="379"/>
      <c r="H30" s="380"/>
      <c r="I30" s="379"/>
      <c r="W30" s="132">
        <v>42759</v>
      </c>
      <c r="X30" s="10">
        <v>31.89</v>
      </c>
      <c r="Y30" s="10">
        <v>33.99</v>
      </c>
      <c r="Z30" s="10">
        <v>31.89</v>
      </c>
      <c r="AA30" s="10">
        <v>33.450000000000003</v>
      </c>
      <c r="AB30" s="94">
        <v>9688200</v>
      </c>
      <c r="AC30" s="10">
        <v>33.159999999999997</v>
      </c>
      <c r="AD30" s="2">
        <f t="shared" si="0"/>
        <v>2.1000000000000014</v>
      </c>
      <c r="AE30" s="137">
        <f t="shared" si="1"/>
        <v>6.0441317556763519E-2</v>
      </c>
    </row>
    <row r="31" spans="1:31" x14ac:dyDescent="0.25">
      <c r="B31" s="377"/>
      <c r="C31" s="378"/>
      <c r="D31" s="379"/>
      <c r="E31" s="379"/>
      <c r="F31" s="379"/>
      <c r="G31" s="379"/>
      <c r="H31" s="380"/>
      <c r="I31" s="379"/>
      <c r="W31" s="132">
        <v>42758</v>
      </c>
      <c r="X31" s="10">
        <v>31.33</v>
      </c>
      <c r="Y31" s="10">
        <v>31.63</v>
      </c>
      <c r="Z31" s="10">
        <v>31.05</v>
      </c>
      <c r="AA31" s="10">
        <v>31.55</v>
      </c>
      <c r="AB31" s="94">
        <v>3544900</v>
      </c>
      <c r="AC31" s="10">
        <v>31.27</v>
      </c>
      <c r="AD31" s="2">
        <f t="shared" si="0"/>
        <v>0.57999999999999829</v>
      </c>
      <c r="AE31" s="137">
        <f t="shared" si="1"/>
        <v>8.384392131570495E-3</v>
      </c>
    </row>
    <row r="32" spans="1:31" x14ac:dyDescent="0.25">
      <c r="B32" s="377"/>
      <c r="C32" s="378"/>
      <c r="D32" s="379"/>
      <c r="E32" s="379"/>
      <c r="F32" s="379"/>
      <c r="G32" s="379"/>
      <c r="H32" s="380"/>
      <c r="I32" s="379"/>
      <c r="W32" s="132">
        <v>42755</v>
      </c>
      <c r="X32" s="10">
        <v>30.69</v>
      </c>
      <c r="Y32" s="10">
        <v>31.57</v>
      </c>
      <c r="Z32" s="10">
        <v>30.65</v>
      </c>
      <c r="AA32" s="10">
        <v>31.28</v>
      </c>
      <c r="AB32" s="94">
        <v>5524900</v>
      </c>
      <c r="AC32" s="10">
        <v>31.01</v>
      </c>
      <c r="AD32" s="2">
        <f t="shared" si="0"/>
        <v>0.92000000000000171</v>
      </c>
      <c r="AE32" s="137">
        <f t="shared" si="1"/>
        <v>3.4011337112370921E-2</v>
      </c>
    </row>
    <row r="33" spans="2:31" x14ac:dyDescent="0.25">
      <c r="B33" s="377"/>
      <c r="C33" s="378"/>
      <c r="D33" s="379"/>
      <c r="E33" s="379"/>
      <c r="F33" s="379"/>
      <c r="G33" s="379"/>
      <c r="H33" s="380"/>
      <c r="I33" s="379"/>
      <c r="W33" s="132">
        <v>42754</v>
      </c>
      <c r="X33" s="10">
        <v>30.69</v>
      </c>
      <c r="Y33" s="10">
        <v>30.83</v>
      </c>
      <c r="Z33" s="10">
        <v>30.01</v>
      </c>
      <c r="AA33" s="10">
        <v>30.25</v>
      </c>
      <c r="AB33" s="94">
        <v>3145600</v>
      </c>
      <c r="AC33" s="10">
        <v>29.99</v>
      </c>
      <c r="AD33" s="2">
        <f t="shared" si="0"/>
        <v>0.81999999999999673</v>
      </c>
      <c r="AE33" s="137">
        <f t="shared" si="1"/>
        <v>-1.1210023079459286E-2</v>
      </c>
    </row>
    <row r="34" spans="2:31" x14ac:dyDescent="0.25">
      <c r="B34" s="377"/>
      <c r="C34" s="378"/>
      <c r="D34" s="379"/>
      <c r="E34" s="379"/>
      <c r="F34" s="379"/>
      <c r="G34" s="379"/>
      <c r="H34" s="380"/>
      <c r="I34" s="379"/>
      <c r="W34" s="132">
        <v>42753</v>
      </c>
      <c r="X34" s="10">
        <v>30.84</v>
      </c>
      <c r="Y34" s="10">
        <v>30.92</v>
      </c>
      <c r="Z34" s="10">
        <v>30.35</v>
      </c>
      <c r="AA34" s="10">
        <v>30.6</v>
      </c>
      <c r="AB34" s="94">
        <v>2898600</v>
      </c>
      <c r="AC34" s="10">
        <v>30.33</v>
      </c>
      <c r="AD34" s="2">
        <f t="shared" si="0"/>
        <v>0.57000000000000028</v>
      </c>
      <c r="AE34" s="137">
        <f t="shared" si="1"/>
        <v>-5.5737704918032982E-3</v>
      </c>
    </row>
    <row r="35" spans="2:31" x14ac:dyDescent="0.25">
      <c r="B35" s="377"/>
      <c r="C35" s="378"/>
      <c r="D35" s="379"/>
      <c r="E35" s="379"/>
      <c r="F35" s="379"/>
      <c r="G35" s="379"/>
      <c r="H35" s="380"/>
      <c r="I35" s="379"/>
      <c r="W35" s="132">
        <v>42752</v>
      </c>
      <c r="X35" s="10">
        <v>31.5</v>
      </c>
      <c r="Y35" s="10">
        <v>31.52</v>
      </c>
      <c r="Z35" s="10">
        <v>30.59</v>
      </c>
      <c r="AA35" s="10">
        <v>30.77</v>
      </c>
      <c r="AB35" s="94">
        <v>3301500</v>
      </c>
      <c r="AC35" s="10">
        <v>30.5</v>
      </c>
      <c r="AD35" s="2">
        <f t="shared" si="0"/>
        <v>0.92999999999999972</v>
      </c>
      <c r="AE35" s="137">
        <f t="shared" si="1"/>
        <v>-1.5493867010974882E-2</v>
      </c>
    </row>
    <row r="36" spans="2:31" x14ac:dyDescent="0.25">
      <c r="B36" s="377"/>
      <c r="C36" s="378"/>
      <c r="D36" s="379"/>
      <c r="E36" s="379"/>
      <c r="F36" s="379"/>
      <c r="G36" s="379"/>
      <c r="H36" s="380"/>
      <c r="I36" s="379"/>
      <c r="W36" s="132">
        <v>42748</v>
      </c>
      <c r="X36" s="10">
        <v>31.49</v>
      </c>
      <c r="Y36" s="10">
        <v>31.78</v>
      </c>
      <c r="Z36" s="10">
        <v>30.93</v>
      </c>
      <c r="AA36" s="10">
        <v>31.25</v>
      </c>
      <c r="AB36" s="94">
        <v>2961000</v>
      </c>
      <c r="AC36" s="10">
        <v>30.98</v>
      </c>
      <c r="AD36" s="2">
        <f t="shared" si="0"/>
        <v>0.85000000000000142</v>
      </c>
      <c r="AE36" s="137">
        <f t="shared" si="1"/>
        <v>-5.138086062941527E-3</v>
      </c>
    </row>
    <row r="37" spans="2:31" x14ac:dyDescent="0.25">
      <c r="W37" s="132">
        <v>42747</v>
      </c>
      <c r="X37" s="10">
        <v>31.43</v>
      </c>
      <c r="Y37" s="10">
        <v>31.61</v>
      </c>
      <c r="Z37" s="10">
        <v>30.67</v>
      </c>
      <c r="AA37" s="10">
        <v>31.41</v>
      </c>
      <c r="AB37" s="94">
        <v>3510600</v>
      </c>
      <c r="AC37" s="10">
        <v>31.14</v>
      </c>
      <c r="AD37" s="2">
        <f t="shared" si="0"/>
        <v>0.93999999999999773</v>
      </c>
      <c r="AE37" s="137">
        <f t="shared" si="1"/>
        <v>-6.4184852374837842E-4</v>
      </c>
    </row>
    <row r="38" spans="2:31" x14ac:dyDescent="0.25">
      <c r="W38" s="132">
        <v>42746</v>
      </c>
      <c r="X38" s="10">
        <v>30.77</v>
      </c>
      <c r="Y38" s="10">
        <v>31.45</v>
      </c>
      <c r="Z38" s="10">
        <v>30.51</v>
      </c>
      <c r="AA38" s="10">
        <v>31.43</v>
      </c>
      <c r="AB38" s="94">
        <v>3408600</v>
      </c>
      <c r="AC38" s="10">
        <v>31.16</v>
      </c>
      <c r="AD38" s="2">
        <f t="shared" si="0"/>
        <v>0.93999999999999773</v>
      </c>
      <c r="AE38" s="137">
        <f t="shared" si="1"/>
        <v>2.331691297208538E-2</v>
      </c>
    </row>
    <row r="39" spans="2:31" x14ac:dyDescent="0.25">
      <c r="W39" s="132">
        <v>42745</v>
      </c>
      <c r="X39" s="10">
        <v>30.79</v>
      </c>
      <c r="Y39" s="10">
        <v>31.23</v>
      </c>
      <c r="Z39" s="10">
        <v>30.29</v>
      </c>
      <c r="AA39" s="10">
        <v>30.72</v>
      </c>
      <c r="AB39" s="94">
        <v>3005300</v>
      </c>
      <c r="AC39" s="10">
        <v>30.45</v>
      </c>
      <c r="AD39" s="2">
        <f t="shared" si="0"/>
        <v>0.94000000000000128</v>
      </c>
      <c r="AE39" s="137">
        <f t="shared" si="1"/>
        <v>3.2851511169518233E-4</v>
      </c>
    </row>
    <row r="40" spans="2:31" ht="20.25" thickBot="1" x14ac:dyDescent="0.35">
      <c r="O40" s="703" t="s">
        <v>78</v>
      </c>
      <c r="P40" s="703"/>
      <c r="W40" s="132">
        <v>42744</v>
      </c>
      <c r="X40" s="10">
        <v>30.87</v>
      </c>
      <c r="Y40" s="10">
        <v>31.12</v>
      </c>
      <c r="Z40" s="10">
        <v>30.45</v>
      </c>
      <c r="AA40" s="10">
        <v>30.71</v>
      </c>
      <c r="AB40" s="94">
        <v>3075700</v>
      </c>
      <c r="AC40" s="10">
        <v>30.44</v>
      </c>
      <c r="AD40" s="2">
        <f t="shared" si="0"/>
        <v>0.67000000000000171</v>
      </c>
      <c r="AE40" s="137">
        <f t="shared" si="1"/>
        <v>-2.9479200786112214E-3</v>
      </c>
    </row>
    <row r="41" spans="2:31" ht="15.75" thickTop="1" x14ac:dyDescent="0.25">
      <c r="B41" s="511" t="s">
        <v>114</v>
      </c>
      <c r="C41" s="511" t="s">
        <v>147</v>
      </c>
      <c r="D41" s="512" t="s">
        <v>146</v>
      </c>
      <c r="E41" s="513" t="s">
        <v>148</v>
      </c>
      <c r="F41" s="513" t="s">
        <v>65</v>
      </c>
      <c r="G41" s="515" t="s">
        <v>152</v>
      </c>
      <c r="H41" s="515" t="s">
        <v>88</v>
      </c>
      <c r="I41" s="515" t="s">
        <v>155</v>
      </c>
      <c r="O41" s="82">
        <v>1.1000000000000001</v>
      </c>
      <c r="P41" s="82">
        <f>O41*$Q$4</f>
        <v>32.109000000000002</v>
      </c>
      <c r="Q41" s="2"/>
      <c r="W41" s="132">
        <v>42741</v>
      </c>
      <c r="X41" s="10">
        <v>30.85</v>
      </c>
      <c r="Y41" s="10">
        <v>30.91</v>
      </c>
      <c r="Z41" s="10">
        <v>30.56</v>
      </c>
      <c r="AA41" s="10">
        <v>30.8</v>
      </c>
      <c r="AB41" s="94">
        <v>2707600</v>
      </c>
      <c r="AC41" s="10">
        <v>30.53</v>
      </c>
      <c r="AD41" s="2">
        <f t="shared" si="0"/>
        <v>0.35000000000000142</v>
      </c>
      <c r="AE41" s="137">
        <f t="shared" si="1"/>
        <v>-2.2875816993463971E-3</v>
      </c>
    </row>
    <row r="42" spans="2:31" ht="20.25" thickBot="1" x14ac:dyDescent="0.35">
      <c r="B42" s="377">
        <v>42548</v>
      </c>
      <c r="C42" s="378">
        <v>100</v>
      </c>
      <c r="D42" s="379">
        <v>25</v>
      </c>
      <c r="E42" s="379">
        <v>24.69</v>
      </c>
      <c r="F42" s="379">
        <f t="shared" ref="F42:F47" si="2">C42*(E42-D42)</f>
        <v>-30.999999999999872</v>
      </c>
      <c r="G42" s="379">
        <f t="shared" ref="G42:G47" si="3">D42*C42</f>
        <v>2500</v>
      </c>
      <c r="H42" s="380">
        <f t="shared" ref="H42:H47" si="4">(E42-D42)/D42</f>
        <v>-1.2399999999999949E-2</v>
      </c>
      <c r="I42" s="379"/>
      <c r="O42" s="82">
        <v>1.0900000000000001</v>
      </c>
      <c r="P42" s="82">
        <f t="shared" ref="P42:P61" si="5">O42*$Q$4</f>
        <v>31.817100000000003</v>
      </c>
      <c r="Q42" s="2"/>
      <c r="T42" s="90" t="s">
        <v>113</v>
      </c>
      <c r="W42" s="132">
        <v>42740</v>
      </c>
      <c r="X42" s="10">
        <v>30.9</v>
      </c>
      <c r="Y42" s="10">
        <v>31.04</v>
      </c>
      <c r="Z42" s="10">
        <v>30.46</v>
      </c>
      <c r="AA42" s="10">
        <v>30.87</v>
      </c>
      <c r="AB42" s="94">
        <v>4712700</v>
      </c>
      <c r="AC42" s="10">
        <v>30.6</v>
      </c>
      <c r="AD42" s="2">
        <f t="shared" si="0"/>
        <v>0.57999999999999829</v>
      </c>
      <c r="AE42" s="137">
        <f t="shared" si="1"/>
        <v>1.9646365422396617E-3</v>
      </c>
    </row>
    <row r="43" spans="2:31" ht="15.75" thickTop="1" x14ac:dyDescent="0.25">
      <c r="B43" s="377">
        <v>42549</v>
      </c>
      <c r="C43" s="378">
        <v>100</v>
      </c>
      <c r="D43" s="379">
        <v>25</v>
      </c>
      <c r="E43" s="379">
        <v>25.26</v>
      </c>
      <c r="F43" s="379">
        <f t="shared" si="2"/>
        <v>26.000000000000156</v>
      </c>
      <c r="G43" s="379">
        <f t="shared" si="3"/>
        <v>2500</v>
      </c>
      <c r="H43" s="380">
        <f t="shared" si="4"/>
        <v>1.0400000000000062E-2</v>
      </c>
      <c r="I43" s="379"/>
      <c r="O43" s="82">
        <v>1.08</v>
      </c>
      <c r="P43" s="82">
        <f t="shared" si="5"/>
        <v>31.525200000000005</v>
      </c>
      <c r="Q43" s="2"/>
      <c r="T43" s="127" t="s">
        <v>98</v>
      </c>
      <c r="U43" s="128">
        <v>30.42</v>
      </c>
      <c r="W43" s="132">
        <v>42739</v>
      </c>
      <c r="X43" s="10">
        <v>29.7</v>
      </c>
      <c r="Y43" s="10">
        <v>30.9</v>
      </c>
      <c r="Z43" s="10">
        <v>29.69</v>
      </c>
      <c r="AA43" s="10">
        <v>30.81</v>
      </c>
      <c r="AB43" s="94">
        <v>12151800</v>
      </c>
      <c r="AC43" s="10">
        <v>30.54</v>
      </c>
      <c r="AD43" s="2">
        <f t="shared" si="0"/>
        <v>1.2099999999999973</v>
      </c>
      <c r="AE43" s="137">
        <f t="shared" si="1"/>
        <v>4.3389135633754794E-2</v>
      </c>
    </row>
    <row r="44" spans="2:31" x14ac:dyDescent="0.25">
      <c r="B44" s="377">
        <v>42552</v>
      </c>
      <c r="C44" s="378">
        <v>100</v>
      </c>
      <c r="D44" s="379">
        <v>25</v>
      </c>
      <c r="E44" s="379">
        <v>26.57</v>
      </c>
      <c r="F44" s="379">
        <f t="shared" si="2"/>
        <v>157.00000000000003</v>
      </c>
      <c r="G44" s="379">
        <f t="shared" si="3"/>
        <v>2500</v>
      </c>
      <c r="H44" s="380">
        <f t="shared" si="4"/>
        <v>6.2800000000000009E-2</v>
      </c>
      <c r="I44" s="379"/>
      <c r="O44" s="82">
        <v>1.07</v>
      </c>
      <c r="P44" s="82">
        <f t="shared" si="5"/>
        <v>31.233300000000003</v>
      </c>
      <c r="Q44" s="2"/>
      <c r="T44" s="92" t="s">
        <v>99</v>
      </c>
      <c r="U44" s="129">
        <v>30.3</v>
      </c>
      <c r="W44" s="132">
        <v>42738</v>
      </c>
      <c r="X44" s="10">
        <v>29.65</v>
      </c>
      <c r="Y44" s="10">
        <v>30.07</v>
      </c>
      <c r="Z44" s="10">
        <v>29.28</v>
      </c>
      <c r="AA44" s="10">
        <v>29.53</v>
      </c>
      <c r="AB44" s="94">
        <v>3358900</v>
      </c>
      <c r="AC44" s="10">
        <v>29.27</v>
      </c>
      <c r="AD44" s="2">
        <f t="shared" si="0"/>
        <v>0.78999999999999915</v>
      </c>
      <c r="AE44" s="137">
        <f t="shared" si="1"/>
        <v>6.8799449604401985E-3</v>
      </c>
    </row>
    <row r="45" spans="2:31" x14ac:dyDescent="0.25">
      <c r="B45" s="377">
        <v>42556</v>
      </c>
      <c r="C45" s="378">
        <v>100</v>
      </c>
      <c r="D45" s="379">
        <v>25</v>
      </c>
      <c r="E45" s="379">
        <v>25.47</v>
      </c>
      <c r="F45" s="379">
        <f t="shared" si="2"/>
        <v>46.999999999999886</v>
      </c>
      <c r="G45" s="379">
        <f t="shared" si="3"/>
        <v>2500</v>
      </c>
      <c r="H45" s="380">
        <f t="shared" si="4"/>
        <v>1.8799999999999956E-2</v>
      </c>
      <c r="I45" s="379"/>
      <c r="O45" s="82">
        <v>1.06</v>
      </c>
      <c r="P45" s="82">
        <f t="shared" si="5"/>
        <v>30.941400000000002</v>
      </c>
      <c r="Q45" s="2"/>
      <c r="T45" s="92" t="s">
        <v>100</v>
      </c>
      <c r="U45" s="129" t="s">
        <v>129</v>
      </c>
      <c r="W45" s="132">
        <v>42734</v>
      </c>
      <c r="X45" s="10">
        <v>29.39</v>
      </c>
      <c r="Y45" s="10">
        <v>29.79</v>
      </c>
      <c r="Z45" s="10">
        <v>29.1</v>
      </c>
      <c r="AA45" s="10">
        <v>29.33</v>
      </c>
      <c r="AB45" s="94">
        <v>2879900</v>
      </c>
      <c r="AC45" s="10">
        <v>29.07</v>
      </c>
      <c r="AD45" s="2">
        <f t="shared" si="0"/>
        <v>0.68999999999999773</v>
      </c>
      <c r="AE45" s="137">
        <f t="shared" si="1"/>
        <v>0</v>
      </c>
    </row>
    <row r="46" spans="2:31" x14ac:dyDescent="0.25">
      <c r="B46" s="377">
        <v>42562</v>
      </c>
      <c r="C46" s="378">
        <v>100</v>
      </c>
      <c r="D46" s="379">
        <v>25</v>
      </c>
      <c r="E46" s="379">
        <v>25.69</v>
      </c>
      <c r="F46" s="379">
        <f t="shared" si="2"/>
        <v>69.000000000000128</v>
      </c>
      <c r="G46" s="379">
        <f t="shared" si="3"/>
        <v>2500</v>
      </c>
      <c r="H46" s="380">
        <f t="shared" si="4"/>
        <v>2.7600000000000052E-2</v>
      </c>
      <c r="I46" s="379"/>
      <c r="O46" s="82">
        <v>1.05</v>
      </c>
      <c r="P46" s="82">
        <f t="shared" si="5"/>
        <v>30.649500000000003</v>
      </c>
      <c r="Q46" s="2"/>
      <c r="T46" s="92" t="s">
        <v>101</v>
      </c>
      <c r="U46" s="129" t="s">
        <v>129</v>
      </c>
      <c r="W46" s="132">
        <v>42733</v>
      </c>
      <c r="X46" s="10">
        <v>29.06</v>
      </c>
      <c r="Y46" s="10">
        <v>29.46</v>
      </c>
      <c r="Z46" s="10">
        <v>29.02</v>
      </c>
      <c r="AA46" s="10">
        <v>29.33</v>
      </c>
      <c r="AB46" s="94">
        <v>2083600</v>
      </c>
      <c r="AC46" s="10">
        <v>29.07</v>
      </c>
      <c r="AD46" s="2">
        <f t="shared" si="0"/>
        <v>0.44000000000000128</v>
      </c>
      <c r="AE46" s="137">
        <f t="shared" si="1"/>
        <v>9.0246442207566613E-3</v>
      </c>
    </row>
    <row r="47" spans="2:31" x14ac:dyDescent="0.25">
      <c r="B47" s="377">
        <v>42563</v>
      </c>
      <c r="C47" s="378">
        <v>100</v>
      </c>
      <c r="D47" s="379">
        <v>25</v>
      </c>
      <c r="E47" s="379">
        <v>26.48</v>
      </c>
      <c r="F47" s="379">
        <f t="shared" si="2"/>
        <v>148.00000000000006</v>
      </c>
      <c r="G47" s="379">
        <f t="shared" si="3"/>
        <v>2500</v>
      </c>
      <c r="H47" s="380">
        <f t="shared" si="4"/>
        <v>5.9200000000000016E-2</v>
      </c>
      <c r="I47" s="379"/>
      <c r="O47" s="82">
        <v>1.04</v>
      </c>
      <c r="P47" s="82">
        <f t="shared" si="5"/>
        <v>30.357600000000001</v>
      </c>
      <c r="Q47" s="2"/>
      <c r="T47" s="92" t="s">
        <v>102</v>
      </c>
      <c r="U47" s="129">
        <v>28.24</v>
      </c>
      <c r="W47" s="132">
        <v>42732</v>
      </c>
      <c r="X47" s="10">
        <v>30.09</v>
      </c>
      <c r="Y47" s="10">
        <v>30.38</v>
      </c>
      <c r="Z47" s="10">
        <v>29</v>
      </c>
      <c r="AA47" s="10">
        <v>29.06</v>
      </c>
      <c r="AB47" s="94">
        <v>3401900</v>
      </c>
      <c r="AC47" s="10">
        <v>28.81</v>
      </c>
      <c r="AD47" s="2">
        <f t="shared" si="0"/>
        <v>1.379999999999999</v>
      </c>
      <c r="AE47" s="137">
        <f t="shared" si="1"/>
        <v>-3.2572196104768358E-2</v>
      </c>
    </row>
    <row r="48" spans="2:31" x14ac:dyDescent="0.25">
      <c r="B48" s="377">
        <v>42569</v>
      </c>
      <c r="C48" s="378">
        <v>100</v>
      </c>
      <c r="D48" s="379">
        <v>25</v>
      </c>
      <c r="E48" s="379">
        <v>29.28</v>
      </c>
      <c r="F48" s="379">
        <f t="shared" ref="F48:F54" si="6">C48*(E48-D48)</f>
        <v>428.00000000000011</v>
      </c>
      <c r="G48" s="379">
        <f t="shared" ref="G48:G54" si="7">D48*C48</f>
        <v>2500</v>
      </c>
      <c r="H48" s="380">
        <f t="shared" ref="H48:H54" si="8">(E48-D48)/D48</f>
        <v>0.17120000000000005</v>
      </c>
      <c r="I48" s="379"/>
      <c r="O48" s="82">
        <v>1.03</v>
      </c>
      <c r="P48" s="82">
        <f t="shared" si="5"/>
        <v>30.065700000000003</v>
      </c>
      <c r="Q48" s="2"/>
      <c r="T48" s="92" t="s">
        <v>103</v>
      </c>
      <c r="U48" s="129">
        <v>1.43591</v>
      </c>
      <c r="W48" s="132">
        <v>42731</v>
      </c>
      <c r="X48" s="10">
        <v>29.15</v>
      </c>
      <c r="Y48" s="10">
        <v>30.31</v>
      </c>
      <c r="Z48" s="10">
        <v>29.11</v>
      </c>
      <c r="AA48" s="10">
        <v>30.04</v>
      </c>
      <c r="AB48" s="94">
        <v>2729200</v>
      </c>
      <c r="AC48" s="10">
        <v>29.78</v>
      </c>
      <c r="AD48" s="2">
        <f t="shared" si="0"/>
        <v>1.1999999999999993</v>
      </c>
      <c r="AE48" s="137">
        <f t="shared" si="1"/>
        <v>2.938126512271011E-2</v>
      </c>
    </row>
    <row r="49" spans="2:31" x14ac:dyDescent="0.25">
      <c r="B49" s="377">
        <v>42570</v>
      </c>
      <c r="C49" s="378">
        <v>100</v>
      </c>
      <c r="D49" s="379">
        <v>25</v>
      </c>
      <c r="E49" s="379">
        <v>28.68</v>
      </c>
      <c r="F49" s="379">
        <f t="shared" si="6"/>
        <v>368</v>
      </c>
      <c r="G49" s="379">
        <f t="shared" si="7"/>
        <v>2500</v>
      </c>
      <c r="H49" s="380">
        <f t="shared" si="8"/>
        <v>0.1472</v>
      </c>
      <c r="I49" s="379"/>
      <c r="O49" s="82">
        <v>1.02</v>
      </c>
      <c r="P49" s="82">
        <f t="shared" si="5"/>
        <v>29.773800000000001</v>
      </c>
      <c r="Q49" s="2"/>
      <c r="T49" s="92" t="s">
        <v>122</v>
      </c>
      <c r="U49" s="129" t="s">
        <v>479</v>
      </c>
      <c r="W49" s="132">
        <v>42727</v>
      </c>
      <c r="X49" s="10">
        <v>29.34</v>
      </c>
      <c r="Y49" s="10">
        <v>29.5</v>
      </c>
      <c r="Z49" s="10">
        <v>28.8</v>
      </c>
      <c r="AA49" s="10">
        <v>29.18</v>
      </c>
      <c r="AB49" s="94">
        <v>2698800</v>
      </c>
      <c r="AC49" s="10">
        <v>28.93</v>
      </c>
      <c r="AD49" s="2">
        <f t="shared" si="0"/>
        <v>0.69999999999999929</v>
      </c>
      <c r="AE49" s="137">
        <f t="shared" si="1"/>
        <v>-5.5001718803712185E-3</v>
      </c>
    </row>
    <row r="50" spans="2:31" x14ac:dyDescent="0.25">
      <c r="B50" s="377">
        <v>42571</v>
      </c>
      <c r="C50" s="378">
        <v>100</v>
      </c>
      <c r="D50" s="379">
        <v>25</v>
      </c>
      <c r="E50" s="379">
        <v>29.01</v>
      </c>
      <c r="F50" s="379">
        <f t="shared" si="6"/>
        <v>401.00000000000017</v>
      </c>
      <c r="G50" s="379">
        <f t="shared" si="7"/>
        <v>2500</v>
      </c>
      <c r="H50" s="380">
        <f t="shared" si="8"/>
        <v>0.16040000000000007</v>
      </c>
      <c r="I50" s="379"/>
      <c r="O50" s="82">
        <v>1.01</v>
      </c>
      <c r="P50" s="82">
        <f t="shared" si="5"/>
        <v>29.481900000000003</v>
      </c>
      <c r="Q50" s="2"/>
      <c r="T50" s="92"/>
      <c r="U50" s="129"/>
      <c r="W50" s="132">
        <v>42726</v>
      </c>
      <c r="X50" s="10">
        <v>28.68</v>
      </c>
      <c r="Y50" s="10">
        <v>29.43</v>
      </c>
      <c r="Z50" s="10">
        <v>28.54</v>
      </c>
      <c r="AA50" s="10">
        <v>29.35</v>
      </c>
      <c r="AB50" s="94">
        <v>5719100</v>
      </c>
      <c r="AC50" s="10">
        <v>29.09</v>
      </c>
      <c r="AD50" s="2">
        <f t="shared" si="0"/>
        <v>0.89000000000000057</v>
      </c>
      <c r="AE50" s="137">
        <f t="shared" si="1"/>
        <v>1.962846126883977E-2</v>
      </c>
    </row>
    <row r="51" spans="2:31" x14ac:dyDescent="0.25">
      <c r="B51" s="377">
        <v>42572</v>
      </c>
      <c r="C51" s="378">
        <v>100</v>
      </c>
      <c r="D51" s="379">
        <v>25</v>
      </c>
      <c r="E51" s="379">
        <v>28.89</v>
      </c>
      <c r="F51" s="379">
        <f t="shared" si="6"/>
        <v>389.00000000000006</v>
      </c>
      <c r="G51" s="379">
        <f t="shared" si="7"/>
        <v>2500</v>
      </c>
      <c r="H51" s="380">
        <f t="shared" si="8"/>
        <v>0.15560000000000002</v>
      </c>
      <c r="I51" s="379"/>
      <c r="O51" s="82">
        <v>1</v>
      </c>
      <c r="P51" s="82">
        <f t="shared" si="5"/>
        <v>29.19</v>
      </c>
      <c r="Q51" s="2"/>
      <c r="T51" s="92" t="s">
        <v>105</v>
      </c>
      <c r="U51" s="129" t="s">
        <v>643</v>
      </c>
      <c r="W51" s="132">
        <v>42725</v>
      </c>
      <c r="X51" s="10">
        <v>28.39</v>
      </c>
      <c r="Y51" s="10">
        <v>28.87</v>
      </c>
      <c r="Z51" s="10">
        <v>28.03</v>
      </c>
      <c r="AA51" s="10">
        <v>28.78</v>
      </c>
      <c r="AB51" s="94">
        <v>5545600</v>
      </c>
      <c r="AC51" s="10">
        <v>28.53</v>
      </c>
      <c r="AD51" s="2">
        <f t="shared" si="0"/>
        <v>0.83999999999999986</v>
      </c>
      <c r="AE51" s="137">
        <f t="shared" si="1"/>
        <v>2.2214260121820262E-2</v>
      </c>
    </row>
    <row r="52" spans="2:31" x14ac:dyDescent="0.25">
      <c r="B52" s="377">
        <v>42576</v>
      </c>
      <c r="C52" s="378">
        <v>100</v>
      </c>
      <c r="D52" s="379">
        <v>25</v>
      </c>
      <c r="E52" s="379">
        <v>28.63</v>
      </c>
      <c r="F52" s="379">
        <f t="shared" si="6"/>
        <v>362.99999999999989</v>
      </c>
      <c r="G52" s="379">
        <f t="shared" si="7"/>
        <v>2500</v>
      </c>
      <c r="H52" s="380">
        <f t="shared" si="8"/>
        <v>0.14519999999999997</v>
      </c>
      <c r="I52" s="379"/>
      <c r="O52" s="82">
        <v>0.99</v>
      </c>
      <c r="P52" s="82">
        <f t="shared" si="5"/>
        <v>28.898099999999999</v>
      </c>
      <c r="Q52" s="2"/>
      <c r="T52" s="92" t="s">
        <v>106</v>
      </c>
      <c r="U52" s="129" t="s">
        <v>497</v>
      </c>
      <c r="W52" s="132">
        <v>42724</v>
      </c>
      <c r="X52" s="10">
        <v>27.94</v>
      </c>
      <c r="Y52" s="10">
        <v>28.22</v>
      </c>
      <c r="Z52" s="10">
        <v>27.51</v>
      </c>
      <c r="AA52" s="10">
        <v>28.16</v>
      </c>
      <c r="AB52" s="94">
        <v>6696300</v>
      </c>
      <c r="AC52" s="10">
        <v>27.91</v>
      </c>
      <c r="AD52" s="2">
        <f t="shared" si="0"/>
        <v>0.7099999999999973</v>
      </c>
      <c r="AE52" s="137">
        <f t="shared" si="1"/>
        <v>1.3803123864874589E-2</v>
      </c>
    </row>
    <row r="53" spans="2:31" x14ac:dyDescent="0.25">
      <c r="B53" s="377">
        <v>42577</v>
      </c>
      <c r="C53" s="378">
        <v>100</v>
      </c>
      <c r="D53" s="379">
        <v>25</v>
      </c>
      <c r="E53" s="379">
        <v>29.34</v>
      </c>
      <c r="F53" s="379">
        <f t="shared" si="6"/>
        <v>434</v>
      </c>
      <c r="G53" s="379">
        <f t="shared" si="7"/>
        <v>2500</v>
      </c>
      <c r="H53" s="380">
        <f t="shared" si="8"/>
        <v>0.1736</v>
      </c>
      <c r="I53" s="379"/>
      <c r="O53" s="82">
        <v>0.98</v>
      </c>
      <c r="P53" s="82">
        <f t="shared" si="5"/>
        <v>28.606200000000001</v>
      </c>
      <c r="Q53" s="2"/>
      <c r="T53" s="92" t="s">
        <v>107</v>
      </c>
      <c r="U53" s="130">
        <v>6561116</v>
      </c>
      <c r="W53" s="132">
        <v>42723</v>
      </c>
      <c r="X53" s="10">
        <v>28.9</v>
      </c>
      <c r="Y53" s="10">
        <v>29.39</v>
      </c>
      <c r="Z53" s="10">
        <v>27.62</v>
      </c>
      <c r="AA53" s="10">
        <v>27.77</v>
      </c>
      <c r="AB53" s="94">
        <v>9520600</v>
      </c>
      <c r="AC53" s="10">
        <v>27.53</v>
      </c>
      <c r="AD53" s="2">
        <f t="shared" si="0"/>
        <v>1.7699999999999996</v>
      </c>
      <c r="AE53" s="137">
        <f t="shared" si="1"/>
        <v>-6.040955631399314E-2</v>
      </c>
    </row>
    <row r="54" spans="2:31" x14ac:dyDescent="0.25">
      <c r="B54" s="377">
        <v>42580</v>
      </c>
      <c r="C54" s="378">
        <v>100</v>
      </c>
      <c r="D54" s="379">
        <v>25</v>
      </c>
      <c r="E54" s="379">
        <v>27</v>
      </c>
      <c r="F54" s="379">
        <f t="shared" si="6"/>
        <v>200</v>
      </c>
      <c r="G54" s="379">
        <f t="shared" si="7"/>
        <v>2500</v>
      </c>
      <c r="H54" s="380">
        <f t="shared" si="8"/>
        <v>0.08</v>
      </c>
      <c r="I54" s="379"/>
      <c r="O54" s="82">
        <v>0.97</v>
      </c>
      <c r="P54" s="82">
        <f t="shared" si="5"/>
        <v>28.314299999999999</v>
      </c>
      <c r="T54" s="92" t="s">
        <v>110</v>
      </c>
      <c r="U54" s="130">
        <v>4901310</v>
      </c>
      <c r="W54" s="132">
        <v>42720</v>
      </c>
      <c r="X54" s="10">
        <v>29.65</v>
      </c>
      <c r="Y54" s="10">
        <v>29.92</v>
      </c>
      <c r="Z54" s="10">
        <v>29.18</v>
      </c>
      <c r="AA54" s="10">
        <v>29.56</v>
      </c>
      <c r="AB54" s="94">
        <v>6911800</v>
      </c>
      <c r="AC54" s="10">
        <v>29.3</v>
      </c>
      <c r="AD54" s="2">
        <f t="shared" si="0"/>
        <v>0.74000000000000199</v>
      </c>
      <c r="AE54" s="137">
        <f t="shared" si="1"/>
        <v>-6.105834464043447E-3</v>
      </c>
    </row>
    <row r="55" spans="2:31" x14ac:dyDescent="0.25">
      <c r="B55" s="377">
        <v>42584</v>
      </c>
      <c r="C55" s="378">
        <v>0</v>
      </c>
      <c r="D55" s="379"/>
      <c r="E55" s="379"/>
      <c r="F55" s="379">
        <v>287.94</v>
      </c>
      <c r="G55" s="379"/>
      <c r="H55" s="380"/>
      <c r="I55" s="379"/>
      <c r="O55" s="82">
        <v>0.96</v>
      </c>
      <c r="P55" s="82">
        <f t="shared" si="5"/>
        <v>28.022400000000001</v>
      </c>
      <c r="T55" s="92" t="s">
        <v>108</v>
      </c>
      <c r="U55" s="129" t="s">
        <v>644</v>
      </c>
      <c r="W55" s="132">
        <v>42719</v>
      </c>
      <c r="X55" s="10">
        <v>29.22</v>
      </c>
      <c r="Y55" s="10">
        <v>30.38</v>
      </c>
      <c r="Z55" s="10">
        <v>29.1</v>
      </c>
      <c r="AA55" s="10">
        <v>29.74</v>
      </c>
      <c r="AB55" s="94">
        <v>3965700</v>
      </c>
      <c r="AC55" s="10">
        <v>29.48</v>
      </c>
      <c r="AD55" s="2">
        <f t="shared" si="0"/>
        <v>1.2799999999999976</v>
      </c>
      <c r="AE55" s="137">
        <f t="shared" si="1"/>
        <v>1.2362637362637319E-2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5"/>
        <v>27.730499999999999</v>
      </c>
      <c r="T56" s="92" t="s">
        <v>111</v>
      </c>
      <c r="U56" s="129">
        <v>35.549999999999997</v>
      </c>
      <c r="W56" s="132">
        <v>42718</v>
      </c>
      <c r="X56" s="10">
        <v>29.57</v>
      </c>
      <c r="Y56" s="10">
        <v>30.44</v>
      </c>
      <c r="Z56" s="10">
        <v>29.32</v>
      </c>
      <c r="AA56" s="10">
        <v>29.38</v>
      </c>
      <c r="AB56" s="94">
        <v>4929500</v>
      </c>
      <c r="AC56" s="10">
        <v>29.12</v>
      </c>
      <c r="AD56" s="2">
        <f t="shared" si="0"/>
        <v>1.120000000000001</v>
      </c>
      <c r="AE56" s="137">
        <f t="shared" si="1"/>
        <v>-4.784688995215336E-3</v>
      </c>
    </row>
    <row r="57" spans="2:31" x14ac:dyDescent="0.25">
      <c r="B57" s="190" t="s">
        <v>114</v>
      </c>
      <c r="C57" s="190" t="s">
        <v>147</v>
      </c>
      <c r="D57" s="191" t="s">
        <v>146</v>
      </c>
      <c r="E57" s="193" t="s">
        <v>148</v>
      </c>
      <c r="F57" s="193" t="s">
        <v>65</v>
      </c>
      <c r="G57" s="228" t="s">
        <v>152</v>
      </c>
      <c r="H57" s="228" t="s">
        <v>88</v>
      </c>
      <c r="I57" s="228" t="s">
        <v>155</v>
      </c>
      <c r="O57" s="82">
        <v>0.94</v>
      </c>
      <c r="P57" s="82">
        <f t="shared" si="5"/>
        <v>27.438600000000001</v>
      </c>
      <c r="T57" s="92" t="s">
        <v>112</v>
      </c>
      <c r="U57" s="129">
        <v>0.85</v>
      </c>
      <c r="W57" s="132">
        <v>42717</v>
      </c>
      <c r="X57" s="10">
        <v>30.62</v>
      </c>
      <c r="Y57" s="10">
        <v>30.63</v>
      </c>
      <c r="Z57" s="10">
        <v>29.06</v>
      </c>
      <c r="AA57" s="10">
        <v>29.52</v>
      </c>
      <c r="AB57" s="94">
        <v>6298800</v>
      </c>
      <c r="AC57" s="10">
        <v>29.26</v>
      </c>
      <c r="AD57" s="2">
        <f t="shared" si="0"/>
        <v>1.5700000000000003</v>
      </c>
      <c r="AE57" s="137">
        <f t="shared" si="1"/>
        <v>-2.4016010673782451E-2</v>
      </c>
    </row>
    <row r="58" spans="2:31" x14ac:dyDescent="0.25">
      <c r="B58" s="265">
        <v>42627</v>
      </c>
      <c r="C58" s="260">
        <v>50</v>
      </c>
      <c r="D58" s="261">
        <v>25.74</v>
      </c>
      <c r="E58" s="261">
        <v>25.83</v>
      </c>
      <c r="F58" s="261">
        <f>C58*(E58-D58)</f>
        <v>4.4999999999999929</v>
      </c>
      <c r="G58" s="261">
        <f>D58*C58</f>
        <v>1287</v>
      </c>
      <c r="H58" s="275">
        <f>(E58-D58)/D58</f>
        <v>3.4965034965034913E-3</v>
      </c>
      <c r="I58" s="261"/>
      <c r="O58" s="82">
        <v>0.93</v>
      </c>
      <c r="P58" s="82">
        <f t="shared" si="5"/>
        <v>27.146700000000003</v>
      </c>
      <c r="T58" s="92" t="s">
        <v>109</v>
      </c>
      <c r="U58" s="129" t="s">
        <v>645</v>
      </c>
      <c r="W58" s="132">
        <v>42716</v>
      </c>
      <c r="X58" s="10">
        <v>31.43</v>
      </c>
      <c r="Y58" s="10">
        <v>31.45</v>
      </c>
      <c r="Z58" s="10">
        <v>30.09</v>
      </c>
      <c r="AA58" s="10">
        <v>30.24</v>
      </c>
      <c r="AB58" s="94">
        <v>5559400</v>
      </c>
      <c r="AC58" s="10">
        <v>29.98</v>
      </c>
      <c r="AD58" s="2">
        <f t="shared" si="0"/>
        <v>1.3599999999999994</v>
      </c>
      <c r="AE58" s="137">
        <f t="shared" si="1"/>
        <v>-3.7560192616372334E-2</v>
      </c>
    </row>
    <row r="59" spans="2:31" x14ac:dyDescent="0.25">
      <c r="B59" s="265">
        <v>42629</v>
      </c>
      <c r="C59" s="260">
        <v>50</v>
      </c>
      <c r="D59" s="261">
        <v>25.74</v>
      </c>
      <c r="E59" s="261">
        <v>25.54</v>
      </c>
      <c r="F59" s="261">
        <f t="shared" ref="F59:F64" si="9">C59*(E59-D59)</f>
        <v>-9.9999999999999645</v>
      </c>
      <c r="G59" s="261">
        <f t="shared" ref="G59:G64" si="10">D59*C59</f>
        <v>1287</v>
      </c>
      <c r="H59" s="275">
        <f t="shared" ref="H59:H64" si="11">(E59-D59)/D59</f>
        <v>-7.7700077700077431E-3</v>
      </c>
      <c r="I59" s="261"/>
      <c r="O59" s="82">
        <v>0.92</v>
      </c>
      <c r="P59" s="82">
        <f t="shared" si="5"/>
        <v>26.854800000000001</v>
      </c>
      <c r="W59" s="132">
        <v>42713</v>
      </c>
      <c r="X59" s="10">
        <v>30.26</v>
      </c>
      <c r="Y59" s="10">
        <v>31.54</v>
      </c>
      <c r="Z59" s="10">
        <v>30.19</v>
      </c>
      <c r="AA59" s="10">
        <v>31.42</v>
      </c>
      <c r="AB59" s="94">
        <v>5671200</v>
      </c>
      <c r="AC59" s="10">
        <v>31.15</v>
      </c>
      <c r="AD59" s="2">
        <f t="shared" si="0"/>
        <v>1.3499999999999979</v>
      </c>
      <c r="AE59" s="137">
        <f t="shared" si="1"/>
        <v>4.1109625668449112E-2</v>
      </c>
    </row>
    <row r="60" spans="2:31" x14ac:dyDescent="0.25">
      <c r="B60" s="265">
        <v>42636</v>
      </c>
      <c r="C60" s="260">
        <v>50</v>
      </c>
      <c r="D60" s="261">
        <v>25.74</v>
      </c>
      <c r="E60" s="261">
        <v>24.82</v>
      </c>
      <c r="F60" s="261">
        <f t="shared" si="9"/>
        <v>-45.999999999999908</v>
      </c>
      <c r="G60" s="261">
        <f t="shared" si="10"/>
        <v>1287</v>
      </c>
      <c r="H60" s="275">
        <f t="shared" si="11"/>
        <v>-3.5742035742035674E-2</v>
      </c>
      <c r="I60" s="261"/>
      <c r="O60" s="82">
        <v>0.91</v>
      </c>
      <c r="P60" s="82">
        <f t="shared" si="5"/>
        <v>26.562900000000003</v>
      </c>
      <c r="W60" s="132">
        <v>42712</v>
      </c>
      <c r="X60" s="10">
        <v>30.43</v>
      </c>
      <c r="Y60" s="10">
        <v>30.69</v>
      </c>
      <c r="Z60" s="10">
        <v>29.95</v>
      </c>
      <c r="AA60" s="10">
        <v>30.18</v>
      </c>
      <c r="AB60" s="94">
        <v>4320100</v>
      </c>
      <c r="AC60" s="10">
        <v>29.92</v>
      </c>
      <c r="AD60" s="2">
        <f t="shared" si="0"/>
        <v>0.74000000000000199</v>
      </c>
      <c r="AE60" s="137">
        <f t="shared" si="1"/>
        <v>-1.6683350016681864E-3</v>
      </c>
    </row>
    <row r="61" spans="2:31" x14ac:dyDescent="0.25">
      <c r="B61" s="265">
        <v>42639</v>
      </c>
      <c r="C61" s="260">
        <v>100</v>
      </c>
      <c r="D61" s="261">
        <v>24.96</v>
      </c>
      <c r="E61" s="261">
        <v>24.14</v>
      </c>
      <c r="F61" s="261">
        <f t="shared" si="9"/>
        <v>-82.000000000000028</v>
      </c>
      <c r="G61" s="261">
        <f t="shared" si="10"/>
        <v>2496</v>
      </c>
      <c r="H61" s="275">
        <f t="shared" si="11"/>
        <v>-3.2852564102564111E-2</v>
      </c>
      <c r="I61" s="261"/>
      <c r="O61" s="82">
        <v>0.9</v>
      </c>
      <c r="P61" s="82">
        <f t="shared" si="5"/>
        <v>26.271000000000001</v>
      </c>
      <c r="W61" s="132">
        <v>42711</v>
      </c>
      <c r="X61" s="10">
        <v>29.45</v>
      </c>
      <c r="Y61" s="10">
        <v>30.29</v>
      </c>
      <c r="Z61" s="10">
        <v>29.31</v>
      </c>
      <c r="AA61" s="10">
        <v>30.23</v>
      </c>
      <c r="AB61" s="94">
        <v>4664700</v>
      </c>
      <c r="AC61" s="10">
        <v>29.97</v>
      </c>
      <c r="AD61" s="2">
        <f t="shared" si="0"/>
        <v>0.98000000000000043</v>
      </c>
      <c r="AE61" s="137">
        <f t="shared" si="1"/>
        <v>2.9189560439560447E-2</v>
      </c>
    </row>
    <row r="62" spans="2:31" x14ac:dyDescent="0.25">
      <c r="B62" s="265">
        <v>42639</v>
      </c>
      <c r="C62" s="260">
        <v>150</v>
      </c>
      <c r="D62" s="261">
        <v>24.8</v>
      </c>
      <c r="E62" s="261">
        <v>24.14</v>
      </c>
      <c r="F62" s="261">
        <f t="shared" si="9"/>
        <v>-99.000000000000028</v>
      </c>
      <c r="G62" s="261">
        <f t="shared" si="10"/>
        <v>3720</v>
      </c>
      <c r="H62" s="275">
        <f t="shared" si="11"/>
        <v>-2.6612903225806457E-2</v>
      </c>
      <c r="I62" s="261"/>
      <c r="W62" s="132">
        <v>42710</v>
      </c>
      <c r="X62" s="10">
        <v>29.05</v>
      </c>
      <c r="Y62" s="10">
        <v>29.52</v>
      </c>
      <c r="Z62" s="10">
        <v>28.47</v>
      </c>
      <c r="AA62" s="10">
        <v>29.38</v>
      </c>
      <c r="AB62" s="94">
        <v>5345300</v>
      </c>
      <c r="AC62" s="10">
        <v>29.12</v>
      </c>
      <c r="AD62" s="2">
        <f t="shared" si="0"/>
        <v>1.0500000000000007</v>
      </c>
      <c r="AE62" s="137">
        <f t="shared" si="1"/>
        <v>6.9156293222683018E-3</v>
      </c>
    </row>
    <row r="63" spans="2:31" x14ac:dyDescent="0.25">
      <c r="B63" s="265">
        <v>42640</v>
      </c>
      <c r="C63" s="260">
        <v>150</v>
      </c>
      <c r="D63" s="261">
        <v>24.8</v>
      </c>
      <c r="E63" s="261">
        <v>23.99</v>
      </c>
      <c r="F63" s="261">
        <f t="shared" si="9"/>
        <v>-121.50000000000034</v>
      </c>
      <c r="G63" s="261">
        <f t="shared" si="10"/>
        <v>3720</v>
      </c>
      <c r="H63" s="275">
        <f t="shared" si="11"/>
        <v>-3.2661290322580736E-2</v>
      </c>
      <c r="I63" s="261"/>
      <c r="W63" s="132">
        <v>42709</v>
      </c>
      <c r="X63" s="10">
        <v>28.98</v>
      </c>
      <c r="Y63" s="10">
        <v>29.8</v>
      </c>
      <c r="Z63" s="10">
        <v>28.98</v>
      </c>
      <c r="AA63" s="10">
        <v>29.17</v>
      </c>
      <c r="AB63" s="94">
        <v>6320400</v>
      </c>
      <c r="AC63" s="10">
        <v>28.92</v>
      </c>
      <c r="AD63" s="2">
        <f t="shared" si="0"/>
        <v>0.82000000000000028</v>
      </c>
      <c r="AE63" s="137">
        <f t="shared" si="1"/>
        <v>1.2250612530626537E-2</v>
      </c>
    </row>
    <row r="64" spans="2:31" x14ac:dyDescent="0.25">
      <c r="B64" s="265">
        <v>42643</v>
      </c>
      <c r="C64" s="260">
        <v>150</v>
      </c>
      <c r="D64" s="261">
        <v>24.8</v>
      </c>
      <c r="E64" s="261">
        <v>24.46</v>
      </c>
      <c r="F64" s="261">
        <f t="shared" si="9"/>
        <v>-50.999999999999979</v>
      </c>
      <c r="G64" s="261">
        <f t="shared" si="10"/>
        <v>3720</v>
      </c>
      <c r="H64" s="275">
        <f t="shared" si="11"/>
        <v>-1.3709677419354832E-2</v>
      </c>
      <c r="I64" s="261"/>
      <c r="W64" s="132">
        <v>42706</v>
      </c>
      <c r="X64" s="10">
        <v>29.05</v>
      </c>
      <c r="Y64" s="10">
        <v>29.25</v>
      </c>
      <c r="Z64" s="10">
        <v>28.67</v>
      </c>
      <c r="AA64" s="10">
        <v>28.82</v>
      </c>
      <c r="AB64" s="94">
        <v>3778600</v>
      </c>
      <c r="AC64" s="10">
        <v>28.57</v>
      </c>
      <c r="AD64" s="2">
        <f t="shared" si="0"/>
        <v>0.57999999999999829</v>
      </c>
      <c r="AE64" s="137">
        <f t="shared" si="1"/>
        <v>-9.3619972260748918E-3</v>
      </c>
    </row>
    <row r="65" spans="2:31" x14ac:dyDescent="0.25">
      <c r="B65" s="265">
        <v>42646</v>
      </c>
      <c r="C65" s="260">
        <v>150</v>
      </c>
      <c r="D65" s="261">
        <v>24.8</v>
      </c>
      <c r="E65" s="261">
        <v>24.89</v>
      </c>
      <c r="F65" s="261">
        <f t="shared" ref="F65:F76" si="12">C65*(E65-D65)</f>
        <v>13.499999999999979</v>
      </c>
      <c r="G65" s="261">
        <f t="shared" ref="G65:G76" si="13">D65*C65</f>
        <v>3720</v>
      </c>
      <c r="H65" s="275">
        <f t="shared" ref="H65:H76" si="14">(E65-D65)/D65</f>
        <v>3.6290322580645102E-3</v>
      </c>
      <c r="I65" s="261"/>
      <c r="W65" s="132">
        <v>42705</v>
      </c>
      <c r="X65" s="10">
        <v>28.6</v>
      </c>
      <c r="Y65" s="10">
        <v>29.5</v>
      </c>
      <c r="Z65" s="10">
        <v>28.56</v>
      </c>
      <c r="AA65" s="10">
        <v>29.09</v>
      </c>
      <c r="AB65" s="94">
        <v>7389300</v>
      </c>
      <c r="AC65" s="10">
        <v>28.84</v>
      </c>
      <c r="AD65" s="2">
        <f t="shared" si="0"/>
        <v>0.94000000000000128</v>
      </c>
      <c r="AE65" s="137">
        <f t="shared" si="1"/>
        <v>2.4511545293072867E-2</v>
      </c>
    </row>
    <row r="66" spans="2:31" x14ac:dyDescent="0.25">
      <c r="B66" s="265">
        <v>42648</v>
      </c>
      <c r="C66" s="260">
        <v>150</v>
      </c>
      <c r="D66" s="261">
        <v>24.8</v>
      </c>
      <c r="E66" s="261">
        <v>25.07</v>
      </c>
      <c r="F66" s="261">
        <f t="shared" si="12"/>
        <v>40.499999999999936</v>
      </c>
      <c r="G66" s="261">
        <f t="shared" si="13"/>
        <v>3720</v>
      </c>
      <c r="H66" s="275">
        <f t="shared" si="14"/>
        <v>1.0887096774193531E-2</v>
      </c>
      <c r="I66" s="261"/>
      <c r="W66" s="132">
        <v>42704</v>
      </c>
      <c r="X66" s="10">
        <v>27.4</v>
      </c>
      <c r="Y66" s="10">
        <v>28.56</v>
      </c>
      <c r="Z66" s="10">
        <v>27.29</v>
      </c>
      <c r="AA66" s="10">
        <v>28.4</v>
      </c>
      <c r="AB66" s="94">
        <v>6345100</v>
      </c>
      <c r="AC66" s="10">
        <v>28.15</v>
      </c>
      <c r="AD66" s="2">
        <f t="shared" si="0"/>
        <v>1.2699999999999996</v>
      </c>
      <c r="AE66" s="137">
        <f t="shared" si="1"/>
        <v>4.9589858314690538E-2</v>
      </c>
    </row>
    <row r="67" spans="2:31" x14ac:dyDescent="0.25">
      <c r="B67" s="265">
        <v>42649</v>
      </c>
      <c r="C67" s="260">
        <v>150</v>
      </c>
      <c r="D67" s="261">
        <v>24.8</v>
      </c>
      <c r="E67" s="261">
        <v>24.85</v>
      </c>
      <c r="F67" s="261">
        <f t="shared" si="12"/>
        <v>7.5000000000001066</v>
      </c>
      <c r="G67" s="261">
        <f t="shared" si="13"/>
        <v>3720</v>
      </c>
      <c r="H67" s="275">
        <f t="shared" si="14"/>
        <v>2.0161290322580931E-3</v>
      </c>
      <c r="I67" s="261"/>
      <c r="W67" s="132">
        <v>42703</v>
      </c>
      <c r="X67" s="10">
        <v>26.99</v>
      </c>
      <c r="Y67" s="10">
        <v>27.3</v>
      </c>
      <c r="Z67" s="10">
        <v>26.61</v>
      </c>
      <c r="AA67" s="10">
        <v>27.06</v>
      </c>
      <c r="AB67" s="94">
        <v>5492900</v>
      </c>
      <c r="AC67" s="10">
        <v>26.82</v>
      </c>
      <c r="AD67" s="2">
        <f>Y67-Z67</f>
        <v>0.69000000000000128</v>
      </c>
      <c r="AE67" s="137" t="e">
        <f>AC67/#REF!-1</f>
        <v>#REF!</v>
      </c>
    </row>
    <row r="68" spans="2:31" x14ac:dyDescent="0.25">
      <c r="B68" s="265">
        <v>42650</v>
      </c>
      <c r="C68" s="260">
        <v>150</v>
      </c>
      <c r="D68" s="261">
        <v>24.8</v>
      </c>
      <c r="E68" s="261">
        <v>24.58</v>
      </c>
      <c r="F68" s="261">
        <f t="shared" si="12"/>
        <v>-33.000000000000362</v>
      </c>
      <c r="G68" s="261">
        <f t="shared" si="13"/>
        <v>3720</v>
      </c>
      <c r="H68" s="275">
        <f t="shared" si="14"/>
        <v>-8.8709677419355811E-3</v>
      </c>
      <c r="I68" s="261"/>
      <c r="W68" s="132">
        <v>42703</v>
      </c>
      <c r="X68" s="10" t="s">
        <v>561</v>
      </c>
      <c r="Y68" s="10"/>
      <c r="Z68" s="10"/>
      <c r="AA68" s="10"/>
      <c r="AB68" s="94"/>
      <c r="AC68" s="10"/>
      <c r="AD68" s="2" t="e">
        <f>#REF!-#REF!</f>
        <v>#REF!</v>
      </c>
      <c r="AE68" s="137" t="e">
        <f>#REF!/AC70-1</f>
        <v>#REF!</v>
      </c>
    </row>
    <row r="69" spans="2:31" x14ac:dyDescent="0.25">
      <c r="B69" s="265">
        <v>42661</v>
      </c>
      <c r="C69" s="260">
        <v>150</v>
      </c>
      <c r="D69" s="261">
        <v>24.8</v>
      </c>
      <c r="E69" s="261">
        <v>23.39</v>
      </c>
      <c r="F69" s="261">
        <f t="shared" si="12"/>
        <v>-211.50000000000003</v>
      </c>
      <c r="G69" s="261">
        <f t="shared" si="13"/>
        <v>3720</v>
      </c>
      <c r="H69" s="275">
        <f t="shared" si="14"/>
        <v>-5.6854838709677426E-2</v>
      </c>
      <c r="I69" s="261"/>
      <c r="W69" s="132">
        <v>42702</v>
      </c>
      <c r="X69" s="10">
        <v>27.42</v>
      </c>
      <c r="Y69" s="10">
        <v>27.64</v>
      </c>
      <c r="Z69" s="10">
        <v>26.8</v>
      </c>
      <c r="AA69" s="10">
        <v>27.35</v>
      </c>
      <c r="AB69" s="94">
        <v>4622600</v>
      </c>
      <c r="AC69" s="10">
        <v>26.84</v>
      </c>
      <c r="AD69" s="2">
        <f>Y70-Z70</f>
        <v>0</v>
      </c>
      <c r="AE69" s="137" t="e">
        <f>AC70/AC71-1</f>
        <v>#DIV/0!</v>
      </c>
    </row>
    <row r="70" spans="2:31" x14ac:dyDescent="0.25">
      <c r="B70" s="265">
        <v>42662</v>
      </c>
      <c r="C70" s="260">
        <v>150</v>
      </c>
      <c r="D70" s="261">
        <v>24.8</v>
      </c>
      <c r="E70" s="261">
        <v>23.84</v>
      </c>
      <c r="F70" s="261">
        <f t="shared" si="12"/>
        <v>-144.00000000000011</v>
      </c>
      <c r="G70" s="261">
        <f t="shared" si="13"/>
        <v>3720</v>
      </c>
      <c r="H70" s="275">
        <f t="shared" si="14"/>
        <v>-3.8709677419354875E-2</v>
      </c>
      <c r="I70" s="261"/>
      <c r="W70" s="132" t="s">
        <v>121</v>
      </c>
      <c r="X70" s="10"/>
      <c r="Y70" s="10"/>
      <c r="Z70" s="10"/>
      <c r="AA70" s="10"/>
      <c r="AB70" s="94"/>
      <c r="AC70" s="10"/>
    </row>
    <row r="71" spans="2:31" x14ac:dyDescent="0.25">
      <c r="B71" s="265">
        <v>42664</v>
      </c>
      <c r="C71" s="260">
        <v>150</v>
      </c>
      <c r="D71" s="261">
        <v>24.8</v>
      </c>
      <c r="E71" s="261">
        <v>24.31</v>
      </c>
      <c r="F71" s="261">
        <f t="shared" si="12"/>
        <v>-73.500000000000298</v>
      </c>
      <c r="G71" s="261">
        <f t="shared" si="13"/>
        <v>3720</v>
      </c>
      <c r="H71" s="275">
        <f t="shared" si="14"/>
        <v>-1.975806451612911E-2</v>
      </c>
      <c r="I71" s="261"/>
    </row>
    <row r="72" spans="2:31" x14ac:dyDescent="0.25">
      <c r="B72" s="265">
        <v>42670</v>
      </c>
      <c r="C72" s="260">
        <v>150</v>
      </c>
      <c r="D72" s="261">
        <v>24.626899999999999</v>
      </c>
      <c r="E72" s="261">
        <v>23.93</v>
      </c>
      <c r="F72" s="261">
        <f t="shared" si="12"/>
        <v>-104.53499999999991</v>
      </c>
      <c r="G72" s="261">
        <f t="shared" si="13"/>
        <v>3694.0349999999999</v>
      </c>
      <c r="H72" s="275">
        <f t="shared" si="14"/>
        <v>-2.8298324190214743E-2</v>
      </c>
      <c r="I72" s="261"/>
    </row>
    <row r="73" spans="2:31" x14ac:dyDescent="0.25">
      <c r="B73" s="265">
        <v>42674</v>
      </c>
      <c r="C73" s="260">
        <v>150</v>
      </c>
      <c r="D73" s="261">
        <v>24.626899999999999</v>
      </c>
      <c r="E73" s="261">
        <v>23.53</v>
      </c>
      <c r="F73" s="261">
        <f t="shared" si="12"/>
        <v>-164.53499999999968</v>
      </c>
      <c r="G73" s="261">
        <f t="shared" si="13"/>
        <v>3694.0349999999999</v>
      </c>
      <c r="H73" s="275">
        <f t="shared" si="14"/>
        <v>-4.4540725791715481E-2</v>
      </c>
      <c r="I73" s="261"/>
    </row>
    <row r="74" spans="2:31" x14ac:dyDescent="0.25">
      <c r="B74" s="265">
        <v>42675</v>
      </c>
      <c r="C74" s="260">
        <v>150</v>
      </c>
      <c r="D74" s="261">
        <v>24.264700000000001</v>
      </c>
      <c r="E74" s="261">
        <v>24.32</v>
      </c>
      <c r="F74" s="261">
        <f t="shared" si="12"/>
        <v>8.2949999999998525</v>
      </c>
      <c r="G74" s="261">
        <f t="shared" si="13"/>
        <v>3639.7050000000004</v>
      </c>
      <c r="H74" s="275">
        <f t="shared" si="14"/>
        <v>2.2790308555225912E-3</v>
      </c>
      <c r="I74" s="261"/>
    </row>
    <row r="75" spans="2:31" x14ac:dyDescent="0.25">
      <c r="B75" s="265">
        <v>42676</v>
      </c>
      <c r="C75" s="260">
        <v>150</v>
      </c>
      <c r="D75" s="261">
        <v>24.264700000000001</v>
      </c>
      <c r="E75" s="261">
        <v>24.73</v>
      </c>
      <c r="F75" s="261">
        <f t="shared" si="12"/>
        <v>69.794999999999874</v>
      </c>
      <c r="G75" s="261">
        <f t="shared" si="13"/>
        <v>3639.7050000000004</v>
      </c>
      <c r="H75" s="275">
        <f t="shared" si="14"/>
        <v>1.9176004648728363E-2</v>
      </c>
      <c r="I75" s="261"/>
    </row>
    <row r="76" spans="2:31" x14ac:dyDescent="0.25">
      <c r="B76" s="265">
        <v>42704</v>
      </c>
      <c r="C76" s="260">
        <v>100</v>
      </c>
      <c r="D76" s="261">
        <v>22.507400000000001</v>
      </c>
      <c r="E76" s="261">
        <v>28.4</v>
      </c>
      <c r="F76" s="261">
        <f t="shared" si="12"/>
        <v>589.25999999999976</v>
      </c>
      <c r="G76" s="261">
        <f t="shared" si="13"/>
        <v>2250.7400000000002</v>
      </c>
      <c r="H76" s="275">
        <f t="shared" si="14"/>
        <v>0.26180722784506422</v>
      </c>
      <c r="I76" s="261"/>
    </row>
    <row r="77" spans="2:31" x14ac:dyDescent="0.25">
      <c r="B77" s="265">
        <v>42711</v>
      </c>
      <c r="C77" s="260">
        <v>0</v>
      </c>
      <c r="D77" s="261"/>
      <c r="E77" s="261"/>
      <c r="F77" s="261">
        <v>727.2</v>
      </c>
      <c r="G77" s="261"/>
      <c r="H77" s="275"/>
      <c r="I77" s="261"/>
    </row>
    <row r="78" spans="2:31" x14ac:dyDescent="0.25">
      <c r="B78" s="192"/>
      <c r="C78" s="10"/>
      <c r="D78" s="40"/>
      <c r="E78" s="40"/>
      <c r="F78" s="40"/>
      <c r="G78" s="40"/>
      <c r="H78" s="230"/>
      <c r="I78" s="40"/>
    </row>
    <row r="79" spans="2:31" x14ac:dyDescent="0.25">
      <c r="B79" s="192"/>
      <c r="C79" s="10"/>
      <c r="D79" s="40"/>
      <c r="E79" s="40"/>
      <c r="F79" s="40"/>
      <c r="G79" s="40"/>
      <c r="H79" s="230"/>
      <c r="I79" s="40"/>
    </row>
    <row r="80" spans="2:31" x14ac:dyDescent="0.25">
      <c r="B80" s="192"/>
      <c r="C80" s="10"/>
      <c r="D80" s="40"/>
      <c r="E80" s="40"/>
      <c r="F80" s="40"/>
      <c r="G80" s="40"/>
      <c r="H80" s="230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2" t="s">
        <v>1</v>
      </c>
      <c r="B85" s="472" t="s">
        <v>2</v>
      </c>
      <c r="C85" s="472" t="s">
        <v>4</v>
      </c>
      <c r="D85" s="473" t="s">
        <v>5</v>
      </c>
      <c r="E85" s="473" t="s">
        <v>94</v>
      </c>
      <c r="F85" s="473" t="s">
        <v>60</v>
      </c>
      <c r="G85" s="472" t="s">
        <v>3</v>
      </c>
      <c r="H85" s="472" t="s">
        <v>6</v>
      </c>
      <c r="I85" s="473" t="s">
        <v>7</v>
      </c>
      <c r="J85" s="473" t="s">
        <v>95</v>
      </c>
      <c r="K85" s="473" t="s">
        <v>61</v>
      </c>
      <c r="L85" s="472" t="s">
        <v>37</v>
      </c>
      <c r="M85" s="472" t="s">
        <v>38</v>
      </c>
    </row>
    <row r="86" spans="1:13" x14ac:dyDescent="0.25">
      <c r="A86" s="474" t="s">
        <v>232</v>
      </c>
      <c r="B86" s="475">
        <v>42548</v>
      </c>
      <c r="C86" s="476">
        <v>100</v>
      </c>
      <c r="D86" s="477">
        <v>25</v>
      </c>
      <c r="E86" s="477">
        <v>0</v>
      </c>
      <c r="F86" s="477">
        <f>D86*C86+E86</f>
        <v>2500</v>
      </c>
      <c r="G86" s="475">
        <v>42584</v>
      </c>
      <c r="H86" s="478">
        <v>100</v>
      </c>
      <c r="I86" s="477">
        <v>27.88</v>
      </c>
      <c r="J86" s="477">
        <v>0.06</v>
      </c>
      <c r="K86" s="477">
        <f>H86*I86-J86</f>
        <v>2787.94</v>
      </c>
      <c r="L86" s="475">
        <v>42719</v>
      </c>
      <c r="M86" s="476">
        <v>41.25</v>
      </c>
    </row>
    <row r="87" spans="1:13" x14ac:dyDescent="0.25">
      <c r="A87" s="479" t="s">
        <v>71</v>
      </c>
      <c r="B87" s="475">
        <v>42627</v>
      </c>
      <c r="C87" s="476">
        <v>50</v>
      </c>
      <c r="D87" s="477">
        <v>25.74</v>
      </c>
      <c r="E87" s="477">
        <v>0</v>
      </c>
      <c r="F87" s="477">
        <v>1287</v>
      </c>
      <c r="G87" s="475" t="s">
        <v>375</v>
      </c>
      <c r="H87" s="478">
        <v>50</v>
      </c>
      <c r="I87" s="477">
        <v>25</v>
      </c>
      <c r="J87" s="477">
        <v>0.03</v>
      </c>
      <c r="K87" s="477">
        <v>1249.97</v>
      </c>
      <c r="L87" s="476"/>
      <c r="M87" s="476"/>
    </row>
    <row r="88" spans="1:13" x14ac:dyDescent="0.25">
      <c r="A88" s="476"/>
      <c r="B88" s="475">
        <v>42639</v>
      </c>
      <c r="C88" s="476">
        <v>50</v>
      </c>
      <c r="D88" s="477">
        <v>24.48</v>
      </c>
      <c r="E88" s="477">
        <v>0</v>
      </c>
      <c r="F88" s="477">
        <v>1224</v>
      </c>
      <c r="G88" s="475" t="s">
        <v>375</v>
      </c>
      <c r="H88" s="478">
        <v>100</v>
      </c>
      <c r="I88" s="477">
        <v>24.88</v>
      </c>
      <c r="J88" s="477">
        <v>0.05</v>
      </c>
      <c r="K88" s="477">
        <v>2487.9499999999998</v>
      </c>
      <c r="L88" s="476"/>
      <c r="M88" s="476"/>
    </row>
    <row r="89" spans="1:13" x14ac:dyDescent="0.25">
      <c r="A89" s="476"/>
      <c r="B89" s="475">
        <v>42639</v>
      </c>
      <c r="C89" s="476">
        <v>50</v>
      </c>
      <c r="D89" s="477">
        <v>24.18</v>
      </c>
      <c r="E89" s="477">
        <v>0</v>
      </c>
      <c r="F89" s="477">
        <v>1209</v>
      </c>
      <c r="G89" s="475" t="s">
        <v>375</v>
      </c>
      <c r="H89" s="478">
        <v>50</v>
      </c>
      <c r="I89" s="477">
        <v>27.78</v>
      </c>
      <c r="J89" s="477">
        <v>0.03</v>
      </c>
      <c r="K89" s="477">
        <v>1388.97</v>
      </c>
      <c r="L89" s="476"/>
      <c r="M89" s="476"/>
    </row>
    <row r="90" spans="1:13" x14ac:dyDescent="0.25">
      <c r="A90" s="476"/>
      <c r="B90" s="475">
        <v>42670</v>
      </c>
      <c r="C90" s="476">
        <v>50</v>
      </c>
      <c r="D90" s="477">
        <v>24.48</v>
      </c>
      <c r="E90" s="477">
        <v>0</v>
      </c>
      <c r="F90" s="477">
        <v>1224</v>
      </c>
      <c r="G90" s="475" t="s">
        <v>375</v>
      </c>
      <c r="H90" s="478">
        <v>100</v>
      </c>
      <c r="I90" s="477">
        <v>29.78</v>
      </c>
      <c r="J90" s="477">
        <v>0.06</v>
      </c>
      <c r="K90" s="477">
        <v>2977.94</v>
      </c>
      <c r="L90" s="476"/>
      <c r="M90" s="476"/>
    </row>
    <row r="91" spans="1:13" x14ac:dyDescent="0.25">
      <c r="A91" s="476"/>
      <c r="B91" s="475" t="s">
        <v>375</v>
      </c>
      <c r="C91" s="476">
        <v>100</v>
      </c>
      <c r="D91" s="477">
        <v>24.34</v>
      </c>
      <c r="E91" s="477">
        <v>-0.37</v>
      </c>
      <c r="F91" s="477">
        <v>2433.63</v>
      </c>
      <c r="G91" s="476"/>
      <c r="H91" s="478"/>
      <c r="I91" s="477"/>
      <c r="J91" s="477"/>
      <c r="K91" s="477"/>
      <c r="L91" s="476"/>
      <c r="M91" s="476"/>
    </row>
    <row r="92" spans="1:13" x14ac:dyDescent="0.25">
      <c r="A92" s="476"/>
      <c r="B92" s="523">
        <v>42723</v>
      </c>
      <c r="C92" s="524">
        <v>100</v>
      </c>
      <c r="D92" s="526">
        <v>27.98</v>
      </c>
      <c r="E92" s="526">
        <v>0</v>
      </c>
      <c r="F92" s="526">
        <f>D92*C92+E92</f>
        <v>2798</v>
      </c>
      <c r="G92" s="523">
        <v>42724</v>
      </c>
      <c r="H92" s="524">
        <v>100</v>
      </c>
      <c r="I92" s="526">
        <v>27.94</v>
      </c>
      <c r="J92" s="526">
        <v>0.06</v>
      </c>
      <c r="K92" s="526">
        <f>I92*H92-J92</f>
        <v>2793.94</v>
      </c>
      <c r="L92" s="476"/>
      <c r="M92" s="476"/>
    </row>
    <row r="93" spans="1:13" x14ac:dyDescent="0.25">
      <c r="A93" s="476"/>
      <c r="B93" s="454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4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6"/>
      <c r="M93" s="476"/>
    </row>
    <row r="94" spans="1:13" x14ac:dyDescent="0.25">
      <c r="A94" s="476"/>
      <c r="B94" s="476"/>
      <c r="C94" s="476"/>
      <c r="D94" s="477"/>
      <c r="E94" s="477"/>
      <c r="F94" s="477"/>
      <c r="G94" s="476"/>
      <c r="H94" s="478"/>
      <c r="I94" s="477"/>
      <c r="J94" s="477"/>
      <c r="K94" s="477"/>
      <c r="L94" s="476"/>
      <c r="M94" s="476"/>
    </row>
    <row r="95" spans="1:13" x14ac:dyDescent="0.25">
      <c r="A95" s="476"/>
      <c r="B95" s="476"/>
      <c r="C95" s="476"/>
      <c r="D95" s="477"/>
      <c r="E95" s="477"/>
      <c r="F95" s="477"/>
      <c r="G95" s="476"/>
      <c r="H95" s="478"/>
      <c r="I95" s="477"/>
      <c r="J95" s="477"/>
      <c r="K95" s="477"/>
      <c r="L95" s="476"/>
      <c r="M95" s="476"/>
    </row>
    <row r="96" spans="1:13" x14ac:dyDescent="0.25">
      <c r="A96" s="476"/>
      <c r="B96" s="476"/>
      <c r="C96" s="476"/>
      <c r="D96" s="477"/>
      <c r="E96" s="477"/>
      <c r="F96" s="477"/>
      <c r="G96" s="476"/>
      <c r="H96" s="478"/>
      <c r="I96" s="477"/>
      <c r="J96" s="477"/>
      <c r="K96" s="477"/>
      <c r="L96" s="476"/>
      <c r="M96" s="476"/>
    </row>
    <row r="97" spans="1:13" x14ac:dyDescent="0.25">
      <c r="A97" s="476"/>
      <c r="B97" s="476"/>
      <c r="C97" s="476"/>
      <c r="D97" s="477"/>
      <c r="E97" s="477"/>
      <c r="F97" s="477"/>
      <c r="G97" s="476"/>
      <c r="H97" s="478"/>
      <c r="I97" s="477"/>
      <c r="J97" s="477"/>
      <c r="K97" s="477"/>
      <c r="L97" s="476"/>
      <c r="M97" s="476"/>
    </row>
    <row r="98" spans="1:13" x14ac:dyDescent="0.25">
      <c r="A98" s="476"/>
      <c r="B98" s="476"/>
      <c r="C98" s="476"/>
      <c r="D98" s="477"/>
      <c r="E98" s="477"/>
      <c r="F98" s="477"/>
      <c r="G98" s="476"/>
      <c r="H98" s="478"/>
      <c r="I98" s="477"/>
      <c r="J98" s="477"/>
      <c r="K98" s="477"/>
      <c r="L98" s="476"/>
      <c r="M98" s="476"/>
    </row>
    <row r="99" spans="1:13" x14ac:dyDescent="0.25">
      <c r="A99" s="476"/>
      <c r="B99" s="476"/>
      <c r="C99" s="476"/>
      <c r="D99" s="477"/>
      <c r="E99" s="477"/>
      <c r="F99" s="477"/>
      <c r="G99" s="476"/>
      <c r="H99" s="478"/>
      <c r="I99" s="477"/>
      <c r="J99" s="477"/>
      <c r="K99" s="477"/>
      <c r="L99" s="476"/>
      <c r="M99" s="476"/>
    </row>
    <row r="100" spans="1:13" x14ac:dyDescent="0.25">
      <c r="A100" s="476"/>
      <c r="B100" s="476"/>
      <c r="C100" s="476"/>
      <c r="D100" s="477"/>
      <c r="E100" s="477"/>
      <c r="F100" s="477"/>
      <c r="G100" s="476"/>
      <c r="H100" s="478"/>
      <c r="I100" s="477"/>
      <c r="J100" s="477"/>
      <c r="K100" s="477"/>
      <c r="L100" s="476"/>
      <c r="M100" s="476"/>
    </row>
    <row r="101" spans="1:13" x14ac:dyDescent="0.25">
      <c r="A101" s="476"/>
      <c r="B101" s="476"/>
      <c r="C101" s="476"/>
      <c r="D101" s="477"/>
      <c r="E101" s="477"/>
      <c r="F101" s="477"/>
      <c r="G101" s="476"/>
      <c r="H101" s="476"/>
      <c r="I101" s="477"/>
      <c r="J101" s="477"/>
      <c r="K101" s="477"/>
      <c r="L101" s="476"/>
      <c r="M101" s="476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4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0" t="s">
        <v>197</v>
      </c>
      <c r="B103" s="481"/>
      <c r="C103" s="482">
        <f>SumByColor($A$19,C86:C101)</f>
        <v>100</v>
      </c>
      <c r="D103" s="482"/>
      <c r="E103" s="482"/>
      <c r="F103" s="483">
        <f>SumByColor($A$19,F86:F101)</f>
        <v>2758</v>
      </c>
      <c r="G103" s="482"/>
      <c r="H103" s="482">
        <f>SumByColor($A$19,H86:H101)</f>
        <v>100</v>
      </c>
      <c r="I103" s="482"/>
      <c r="J103" s="482"/>
      <c r="K103" s="483">
        <f>SumByColor($A$19,K86:K101)</f>
        <v>3158</v>
      </c>
      <c r="L103" s="482"/>
      <c r="M103" s="483">
        <f>SumByColor($A$19,M86:M101)</f>
        <v>0</v>
      </c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61" priority="35">
      <formula>F55&gt;0</formula>
    </cfRule>
    <cfRule type="expression" dxfId="660" priority="36">
      <formula>F55&lt;0</formula>
    </cfRule>
  </conditionalFormatting>
  <conditionalFormatting sqref="Q7">
    <cfRule type="expression" dxfId="659" priority="23">
      <formula>Q7&gt;0</formula>
    </cfRule>
    <cfRule type="expression" dxfId="658" priority="24">
      <formula>Q7&lt;0</formula>
    </cfRule>
  </conditionalFormatting>
  <conditionalFormatting sqref="Q8">
    <cfRule type="expression" dxfId="657" priority="21">
      <formula>Q8&gt;0</formula>
    </cfRule>
    <cfRule type="expression" dxfId="656" priority="22">
      <formula>Q8&lt;0</formula>
    </cfRule>
  </conditionalFormatting>
  <conditionalFormatting sqref="F42:F54">
    <cfRule type="expression" dxfId="655" priority="19">
      <formula>F42&gt;0</formula>
    </cfRule>
    <cfRule type="expression" dxfId="654" priority="20">
      <formula>F42&lt;0</formula>
    </cfRule>
  </conditionalFormatting>
  <conditionalFormatting sqref="H42:H54">
    <cfRule type="expression" dxfId="653" priority="17">
      <formula>H42&gt;0</formula>
    </cfRule>
    <cfRule type="expression" dxfId="652" priority="18">
      <formula>H42&lt;0</formula>
    </cfRule>
  </conditionalFormatting>
  <conditionalFormatting sqref="H58:H61">
    <cfRule type="expression" dxfId="651" priority="13">
      <formula>H58&gt;0</formula>
    </cfRule>
    <cfRule type="expression" dxfId="650" priority="14">
      <formula>H58&lt;0</formula>
    </cfRule>
  </conditionalFormatting>
  <conditionalFormatting sqref="F58:F61">
    <cfRule type="expression" dxfId="649" priority="15">
      <formula>F58&gt;0</formula>
    </cfRule>
    <cfRule type="expression" dxfId="648" priority="16">
      <formula>F58&lt;0</formula>
    </cfRule>
  </conditionalFormatting>
  <conditionalFormatting sqref="M84">
    <cfRule type="expression" dxfId="647" priority="11">
      <formula>M84&gt;0</formula>
    </cfRule>
    <cfRule type="expression" dxfId="646" priority="12">
      <formula>M84&lt;0</formula>
    </cfRule>
  </conditionalFormatting>
  <conditionalFormatting sqref="F23:F24 F28:F36">
    <cfRule type="expression" dxfId="645" priority="9">
      <formula>F23&gt;0</formula>
    </cfRule>
    <cfRule type="expression" dxfId="644" priority="10">
      <formula>F23&lt;0</formula>
    </cfRule>
  </conditionalFormatting>
  <conditionalFormatting sqref="H23:H24 H28:H36">
    <cfRule type="expression" dxfId="643" priority="7">
      <formula>H23&gt;0</formula>
    </cfRule>
    <cfRule type="expression" dxfId="642" priority="8">
      <formula>H23&lt;0</formula>
    </cfRule>
  </conditionalFormatting>
  <conditionalFormatting sqref="Q10">
    <cfRule type="expression" dxfId="641" priority="5">
      <formula>Q10&gt;0</formula>
    </cfRule>
    <cfRule type="expression" dxfId="640" priority="6">
      <formula>Q10&lt;0</formula>
    </cfRule>
  </conditionalFormatting>
  <conditionalFormatting sqref="F25:F27">
    <cfRule type="expression" dxfId="639" priority="3">
      <formula>F25&gt;0</formula>
    </cfRule>
    <cfRule type="expression" dxfId="638" priority="4">
      <formula>F25&lt;0</formula>
    </cfRule>
  </conditionalFormatting>
  <conditionalFormatting sqref="H25:H27">
    <cfRule type="expression" dxfId="637" priority="1">
      <formula>H25&gt;0</formula>
    </cfRule>
    <cfRule type="expression" dxfId="636" priority="2">
      <formula>H25&lt;0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18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430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42797</v>
      </c>
      <c r="X2" s="10">
        <v>50.11</v>
      </c>
      <c r="Y2" s="10">
        <v>50.45</v>
      </c>
      <c r="Z2" s="10">
        <v>50.05</v>
      </c>
      <c r="AA2" s="10">
        <v>50.38</v>
      </c>
      <c r="AB2" s="94">
        <v>4847800</v>
      </c>
      <c r="AC2" s="10">
        <v>50.38</v>
      </c>
      <c r="AD2" s="2">
        <f>Y2-Z2</f>
        <v>0.40000000000000568</v>
      </c>
      <c r="AE2" s="137">
        <f>AC2/AC3-1</f>
        <v>8.0032012805122399E-3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87.73</v>
      </c>
      <c r="T3" s="1"/>
      <c r="W3" s="132">
        <v>42796</v>
      </c>
      <c r="X3" s="10">
        <v>50.02</v>
      </c>
      <c r="Y3" s="10">
        <v>50.14</v>
      </c>
      <c r="Z3" s="10">
        <v>49.96</v>
      </c>
      <c r="AA3" s="10">
        <v>49.98</v>
      </c>
      <c r="AB3" s="94">
        <v>2195800</v>
      </c>
      <c r="AC3" s="10">
        <v>49.98</v>
      </c>
      <c r="AD3" s="2">
        <f t="shared" ref="AD3:AD66" si="0">Y3-Z3</f>
        <v>0.17999999999999972</v>
      </c>
      <c r="AE3" s="137">
        <f t="shared" ref="AE3:AE66" si="1">AC3/AC4-1</f>
        <v>-3.7871237791510248E-3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87.73</v>
      </c>
      <c r="R4" s="499">
        <v>5.0000000000000001E-4</v>
      </c>
      <c r="T4" s="162"/>
      <c r="U4" s="1"/>
      <c r="W4" s="132">
        <v>42795</v>
      </c>
      <c r="X4" s="10">
        <v>49.98</v>
      </c>
      <c r="Y4" s="10">
        <v>50.32</v>
      </c>
      <c r="Z4" s="10">
        <v>49.96</v>
      </c>
      <c r="AA4" s="10">
        <v>50.17</v>
      </c>
      <c r="AB4" s="94">
        <v>3855500</v>
      </c>
      <c r="AC4" s="10">
        <v>50.17</v>
      </c>
      <c r="AD4" s="2">
        <f t="shared" si="0"/>
        <v>0.35999999999999943</v>
      </c>
      <c r="AE4" s="137">
        <f t="shared" si="1"/>
        <v>1.0473313192346456E-2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42794</v>
      </c>
      <c r="X5" s="10">
        <v>49.66</v>
      </c>
      <c r="Y5" s="10">
        <v>49.84</v>
      </c>
      <c r="Z5" s="10">
        <v>49.59</v>
      </c>
      <c r="AA5" s="10">
        <v>49.65</v>
      </c>
      <c r="AB5" s="94">
        <v>3502400</v>
      </c>
      <c r="AC5" s="10">
        <v>49.65</v>
      </c>
      <c r="AD5" s="2">
        <f t="shared" si="0"/>
        <v>0.25</v>
      </c>
      <c r="AE5" s="137">
        <f t="shared" si="1"/>
        <v>-1.006036217303885E-3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42793</v>
      </c>
      <c r="X6" s="10">
        <v>49.48</v>
      </c>
      <c r="Y6" s="10">
        <v>49.73</v>
      </c>
      <c r="Z6" s="10">
        <v>49.47</v>
      </c>
      <c r="AA6" s="10">
        <v>49.7</v>
      </c>
      <c r="AB6" s="94">
        <v>1892800</v>
      </c>
      <c r="AC6" s="10">
        <v>49.7</v>
      </c>
      <c r="AD6" s="2">
        <f t="shared" si="0"/>
        <v>0.25999999999999801</v>
      </c>
      <c r="AE6" s="137">
        <f t="shared" si="1"/>
        <v>2.4203307785397588E-3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636.93000000000029</v>
      </c>
      <c r="R7">
        <v>0</v>
      </c>
      <c r="W7" s="132">
        <v>42790</v>
      </c>
      <c r="X7" s="10">
        <v>49.4</v>
      </c>
      <c r="Y7" s="10">
        <v>49.64</v>
      </c>
      <c r="Z7" s="10">
        <v>49.37</v>
      </c>
      <c r="AA7" s="10">
        <v>49.58</v>
      </c>
      <c r="AB7" s="94">
        <v>2722000</v>
      </c>
      <c r="AC7" s="10">
        <v>49.58</v>
      </c>
      <c r="AD7" s="2">
        <f t="shared" si="0"/>
        <v>0.27000000000000313</v>
      </c>
      <c r="AE7" s="137">
        <f t="shared" si="1"/>
        <v>-8.9946032380572305E-3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42789</v>
      </c>
      <c r="X8" s="10">
        <v>50.06</v>
      </c>
      <c r="Y8" s="10">
        <v>50.1</v>
      </c>
      <c r="Z8" s="10">
        <v>49.9</v>
      </c>
      <c r="AA8" s="10">
        <v>50.03</v>
      </c>
      <c r="AB8" s="94">
        <v>2126800</v>
      </c>
      <c r="AC8" s="10">
        <v>50.03</v>
      </c>
      <c r="AD8" s="2">
        <f t="shared" si="0"/>
        <v>0.20000000000000284</v>
      </c>
      <c r="AE8" s="137">
        <f t="shared" si="1"/>
        <v>2.4043277900220872E-3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42788</v>
      </c>
      <c r="X9" s="10">
        <v>49.63</v>
      </c>
      <c r="Y9" s="10">
        <v>49.94</v>
      </c>
      <c r="Z9" s="10">
        <v>49.57</v>
      </c>
      <c r="AA9" s="10">
        <v>49.91</v>
      </c>
      <c r="AB9" s="94">
        <v>4093800</v>
      </c>
      <c r="AC9" s="10">
        <v>49.91</v>
      </c>
      <c r="AD9" s="2">
        <f t="shared" si="0"/>
        <v>0.36999999999999744</v>
      </c>
      <c r="AE9" s="137">
        <f t="shared" si="1"/>
        <v>-2.0032051282059538E-4</v>
      </c>
    </row>
    <row r="10" spans="1:31" x14ac:dyDescent="0.25">
      <c r="H10" s="71"/>
      <c r="O10" s="11" t="s">
        <v>212</v>
      </c>
      <c r="P10" s="34"/>
      <c r="Q10" s="2">
        <f>M53</f>
        <v>636.93000000000029</v>
      </c>
      <c r="W10" s="132">
        <v>42787</v>
      </c>
      <c r="X10" s="10">
        <v>49.7</v>
      </c>
      <c r="Y10" s="10">
        <v>49.94</v>
      </c>
      <c r="Z10" s="10">
        <v>49.69</v>
      </c>
      <c r="AA10" s="10">
        <v>49.92</v>
      </c>
      <c r="AB10" s="94">
        <v>3164300</v>
      </c>
      <c r="AC10" s="10">
        <v>49.92</v>
      </c>
      <c r="AD10" s="2">
        <f t="shared" si="0"/>
        <v>0.25</v>
      </c>
      <c r="AE10" s="137">
        <f t="shared" si="1"/>
        <v>2.0036064916850727E-4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42783</v>
      </c>
      <c r="X11" s="10">
        <v>49.77</v>
      </c>
      <c r="Y11" s="10">
        <v>49.92</v>
      </c>
      <c r="Z11" s="10">
        <v>49.71</v>
      </c>
      <c r="AA11" s="10">
        <v>49.91</v>
      </c>
      <c r="AB11" s="94">
        <v>3773200</v>
      </c>
      <c r="AC11" s="10">
        <v>49.91</v>
      </c>
      <c r="AD11" s="2">
        <f t="shared" si="0"/>
        <v>0.21000000000000085</v>
      </c>
      <c r="AE11" s="137">
        <f t="shared" si="1"/>
        <v>-3.5935316430426578E-3</v>
      </c>
    </row>
    <row r="12" spans="1:31" x14ac:dyDescent="0.25">
      <c r="H12" s="71"/>
      <c r="W12" s="132">
        <v>42782</v>
      </c>
      <c r="X12" s="10">
        <v>49.96</v>
      </c>
      <c r="Y12" s="10">
        <v>50.09</v>
      </c>
      <c r="Z12" s="10">
        <v>49.93</v>
      </c>
      <c r="AA12" s="10">
        <v>50.09</v>
      </c>
      <c r="AB12" s="94">
        <v>2035500</v>
      </c>
      <c r="AC12" s="10">
        <v>50.09</v>
      </c>
      <c r="AD12" s="2">
        <f t="shared" si="0"/>
        <v>0.16000000000000369</v>
      </c>
      <c r="AE12" s="137">
        <f t="shared" si="1"/>
        <v>4.008819402685937E-3</v>
      </c>
    </row>
    <row r="13" spans="1:31" x14ac:dyDescent="0.25">
      <c r="H13" s="71"/>
      <c r="W13" s="132">
        <v>42781</v>
      </c>
      <c r="X13" s="10">
        <v>49.47</v>
      </c>
      <c r="Y13" s="10">
        <v>49.89</v>
      </c>
      <c r="Z13" s="10">
        <v>49.44</v>
      </c>
      <c r="AA13" s="10">
        <v>49.89</v>
      </c>
      <c r="AB13" s="94">
        <v>2867700</v>
      </c>
      <c r="AC13" s="10">
        <v>49.89</v>
      </c>
      <c r="AD13" s="2">
        <f t="shared" si="0"/>
        <v>0.45000000000000284</v>
      </c>
      <c r="AE13" s="137">
        <f t="shared" si="1"/>
        <v>4.6314941602900728E-3</v>
      </c>
    </row>
    <row r="14" spans="1:31" x14ac:dyDescent="0.25">
      <c r="H14" s="71"/>
      <c r="W14" s="132">
        <v>42780</v>
      </c>
      <c r="X14" s="10">
        <v>49.63</v>
      </c>
      <c r="Y14" s="10">
        <v>49.69</v>
      </c>
      <c r="Z14" s="10">
        <v>49.44</v>
      </c>
      <c r="AA14" s="10">
        <v>49.66</v>
      </c>
      <c r="AB14" s="94">
        <v>2379000</v>
      </c>
      <c r="AC14" s="10">
        <v>49.66</v>
      </c>
      <c r="AD14" s="2">
        <f t="shared" si="0"/>
        <v>0.25</v>
      </c>
      <c r="AE14" s="137">
        <f t="shared" si="1"/>
        <v>2.0140986908345759E-4</v>
      </c>
    </row>
    <row r="15" spans="1:31" x14ac:dyDescent="0.25">
      <c r="H15" s="71"/>
      <c r="W15" s="132">
        <v>42779</v>
      </c>
      <c r="X15" s="10">
        <v>49.74</v>
      </c>
      <c r="Y15" s="10">
        <v>49.76</v>
      </c>
      <c r="Z15" s="10">
        <v>49.6</v>
      </c>
      <c r="AA15" s="10">
        <v>49.65</v>
      </c>
      <c r="AB15" s="94">
        <v>2474800</v>
      </c>
      <c r="AC15" s="10">
        <v>49.65</v>
      </c>
      <c r="AD15" s="2">
        <f t="shared" si="0"/>
        <v>0.15999999999999659</v>
      </c>
      <c r="AE15" s="137">
        <f t="shared" si="1"/>
        <v>3.6385688295936802E-3</v>
      </c>
    </row>
    <row r="16" spans="1:31" x14ac:dyDescent="0.25">
      <c r="H16" s="71"/>
      <c r="W16" s="132">
        <v>42776</v>
      </c>
      <c r="X16" s="10">
        <v>49.3</v>
      </c>
      <c r="Y16" s="10">
        <v>49.53</v>
      </c>
      <c r="Z16" s="10">
        <v>49.27</v>
      </c>
      <c r="AA16" s="10">
        <v>49.47</v>
      </c>
      <c r="AB16" s="94">
        <v>2778800</v>
      </c>
      <c r="AC16" s="10">
        <v>49.47</v>
      </c>
      <c r="AD16" s="2">
        <f t="shared" si="0"/>
        <v>0.25999999999999801</v>
      </c>
      <c r="AE16" s="137">
        <f t="shared" si="1"/>
        <v>2.021835826930829E-4</v>
      </c>
    </row>
    <row r="17" spans="1:31" x14ac:dyDescent="0.25">
      <c r="W17" s="132">
        <v>42775</v>
      </c>
      <c r="X17" s="10">
        <v>49.44</v>
      </c>
      <c r="Y17" s="10">
        <v>49.57</v>
      </c>
      <c r="Z17" s="10">
        <v>49.37</v>
      </c>
      <c r="AA17" s="10">
        <v>49.46</v>
      </c>
      <c r="AB17" s="94">
        <v>3440000</v>
      </c>
      <c r="AC17" s="10">
        <v>49.46</v>
      </c>
      <c r="AD17" s="2">
        <f t="shared" si="0"/>
        <v>0.20000000000000284</v>
      </c>
      <c r="AE17" s="137">
        <f t="shared" si="1"/>
        <v>3.4489754514099857E-3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49.09</v>
      </c>
      <c r="Y18" s="10">
        <v>49.3</v>
      </c>
      <c r="Z18" s="10">
        <v>48.99</v>
      </c>
      <c r="AA18" s="10">
        <v>49.29</v>
      </c>
      <c r="AB18" s="94">
        <v>1506200</v>
      </c>
      <c r="AC18" s="10">
        <v>49.29</v>
      </c>
      <c r="AD18" s="2">
        <f t="shared" si="0"/>
        <v>0.30999999999999517</v>
      </c>
      <c r="AE18" s="137">
        <f t="shared" si="1"/>
        <v>1.8292682926828174E-3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49.07</v>
      </c>
      <c r="Y19" s="10">
        <v>49.22</v>
      </c>
      <c r="Z19" s="10">
        <v>49.07</v>
      </c>
      <c r="AA19" s="10">
        <v>49.2</v>
      </c>
      <c r="AB19" s="94">
        <v>2331600</v>
      </c>
      <c r="AC19" s="10">
        <v>49.2</v>
      </c>
      <c r="AD19" s="2">
        <f t="shared" si="0"/>
        <v>0.14999999999999858</v>
      </c>
      <c r="AE19" s="137">
        <f t="shared" si="1"/>
        <v>4.0666937779598733E-4</v>
      </c>
    </row>
    <row r="20" spans="1:31" x14ac:dyDescent="0.25">
      <c r="W20" s="132">
        <v>42772</v>
      </c>
      <c r="X20" s="10">
        <v>49.15</v>
      </c>
      <c r="Y20" s="10">
        <v>49.23</v>
      </c>
      <c r="Z20" s="10">
        <v>49.03</v>
      </c>
      <c r="AA20" s="10">
        <v>49.18</v>
      </c>
      <c r="AB20" s="94">
        <v>2295600</v>
      </c>
      <c r="AC20" s="10">
        <v>49.18</v>
      </c>
      <c r="AD20" s="2">
        <f t="shared" si="0"/>
        <v>0.19999999999999574</v>
      </c>
      <c r="AE20" s="137">
        <f t="shared" si="1"/>
        <v>-9.4662638469285021E-3</v>
      </c>
    </row>
    <row r="21" spans="1:31" x14ac:dyDescent="0.25">
      <c r="W21" s="132">
        <v>42769</v>
      </c>
      <c r="X21" s="10">
        <v>49.62</v>
      </c>
      <c r="Y21" s="10">
        <v>49.76</v>
      </c>
      <c r="Z21" s="10">
        <v>49.55</v>
      </c>
      <c r="AA21" s="10">
        <v>49.65</v>
      </c>
      <c r="AB21" s="94">
        <v>1960800</v>
      </c>
      <c r="AC21" s="10">
        <v>49.65</v>
      </c>
      <c r="AD21" s="2">
        <f t="shared" si="0"/>
        <v>0.21000000000000085</v>
      </c>
      <c r="AE21" s="137">
        <f t="shared" si="1"/>
        <v>3.6385688295936802E-3</v>
      </c>
    </row>
    <row r="22" spans="1:31" x14ac:dyDescent="0.25">
      <c r="W22" s="132">
        <v>42768</v>
      </c>
      <c r="X22" s="10">
        <v>49.58</v>
      </c>
      <c r="Y22" s="10">
        <v>49.65</v>
      </c>
      <c r="Z22" s="10">
        <v>49.36</v>
      </c>
      <c r="AA22" s="10">
        <v>49.47</v>
      </c>
      <c r="AB22" s="94">
        <v>2317500</v>
      </c>
      <c r="AC22" s="10">
        <v>49.47</v>
      </c>
      <c r="AD22" s="2">
        <f t="shared" si="0"/>
        <v>0.28999999999999915</v>
      </c>
      <c r="AE22" s="137">
        <f t="shared" si="1"/>
        <v>-8.0791759240550487E-4</v>
      </c>
    </row>
    <row r="23" spans="1:31" x14ac:dyDescent="0.25">
      <c r="W23" s="132">
        <v>42767</v>
      </c>
      <c r="X23" s="10">
        <v>49.64</v>
      </c>
      <c r="Y23" s="10">
        <v>49.64</v>
      </c>
      <c r="Z23" s="10">
        <v>49.36</v>
      </c>
      <c r="AA23" s="10">
        <v>49.51</v>
      </c>
      <c r="AB23" s="94">
        <v>3629400</v>
      </c>
      <c r="AC23" s="10">
        <v>49.51</v>
      </c>
      <c r="AD23" s="2">
        <f t="shared" si="0"/>
        <v>0.28000000000000114</v>
      </c>
      <c r="AE23" s="137">
        <f t="shared" si="1"/>
        <v>3.0388978930306898E-3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49.37</v>
      </c>
      <c r="Y24" s="10">
        <v>49.41</v>
      </c>
      <c r="Z24" s="10">
        <v>49.11</v>
      </c>
      <c r="AA24" s="10">
        <v>49.36</v>
      </c>
      <c r="AB24" s="94">
        <v>3610400</v>
      </c>
      <c r="AC24" s="10">
        <v>49.36</v>
      </c>
      <c r="AD24" s="2">
        <f t="shared" si="0"/>
        <v>0.29999999999999716</v>
      </c>
      <c r="AE24" s="137">
        <f t="shared" si="1"/>
        <v>4.8859934853420217E-3</v>
      </c>
    </row>
    <row r="25" spans="1:31" x14ac:dyDescent="0.25">
      <c r="B25" s="192">
        <v>42767</v>
      </c>
      <c r="C25" s="10">
        <v>35</v>
      </c>
      <c r="D25" s="40">
        <v>69.58</v>
      </c>
      <c r="E25" s="40">
        <v>69.5</v>
      </c>
      <c r="F25" s="40">
        <f>C25*(E25-D25)</f>
        <v>-2.7999999999999403</v>
      </c>
      <c r="G25" s="40">
        <f>D25*C25</f>
        <v>2435.2999999999997</v>
      </c>
      <c r="H25" s="230">
        <f>(E25-D25)/D25</f>
        <v>-1.1497556769186302E-3</v>
      </c>
      <c r="I25" s="40"/>
      <c r="W25" s="132">
        <v>42765</v>
      </c>
      <c r="X25" s="10">
        <v>49.04</v>
      </c>
      <c r="Y25" s="10">
        <v>49.15</v>
      </c>
      <c r="Z25" s="10">
        <v>48.89</v>
      </c>
      <c r="AA25" s="10">
        <v>49.12</v>
      </c>
      <c r="AB25" s="94">
        <v>2493800</v>
      </c>
      <c r="AC25" s="10">
        <v>49.12</v>
      </c>
      <c r="AD25" s="2">
        <f t="shared" si="0"/>
        <v>0.25999999999999801</v>
      </c>
      <c r="AE25" s="137">
        <f t="shared" si="1"/>
        <v>-8.2778114274177916E-3</v>
      </c>
    </row>
    <row r="26" spans="1:31" x14ac:dyDescent="0.25">
      <c r="A26" t="s">
        <v>441</v>
      </c>
      <c r="B26" s="192">
        <v>42770</v>
      </c>
      <c r="C26" s="10">
        <v>35</v>
      </c>
      <c r="D26" s="40">
        <v>69.58</v>
      </c>
      <c r="E26" s="40">
        <v>84.08</v>
      </c>
      <c r="F26" s="40">
        <f>C26*(E26-D26)</f>
        <v>507.5</v>
      </c>
      <c r="G26" s="40">
        <f>D26*C26</f>
        <v>2435.2999999999997</v>
      </c>
      <c r="H26" s="230">
        <f>(E26-D26)/D26</f>
        <v>0.20839321644150618</v>
      </c>
      <c r="I26" s="40"/>
      <c r="W26" s="132">
        <v>42762</v>
      </c>
      <c r="X26" s="10">
        <v>49.54</v>
      </c>
      <c r="Y26" s="10">
        <v>49.61</v>
      </c>
      <c r="Z26" s="10">
        <v>49.46</v>
      </c>
      <c r="AA26" s="10">
        <v>49.53</v>
      </c>
      <c r="AB26" s="94">
        <v>1348400</v>
      </c>
      <c r="AC26" s="10">
        <v>49.53</v>
      </c>
      <c r="AD26" s="2">
        <f t="shared" si="0"/>
        <v>0.14999999999999858</v>
      </c>
      <c r="AE26" s="137">
        <f t="shared" si="1"/>
        <v>-2.018570851836099E-4</v>
      </c>
    </row>
    <row r="27" spans="1:31" x14ac:dyDescent="0.25">
      <c r="B27" s="192">
        <v>42803</v>
      </c>
      <c r="C27" s="10">
        <v>35</v>
      </c>
      <c r="D27" s="40"/>
      <c r="E27" s="40"/>
      <c r="F27" s="40">
        <v>636.92999999999995</v>
      </c>
      <c r="G27" s="40"/>
      <c r="H27" s="230"/>
      <c r="I27" s="40"/>
      <c r="W27" s="132">
        <v>42761</v>
      </c>
      <c r="X27" s="10">
        <v>49.65</v>
      </c>
      <c r="Y27" s="10">
        <v>49.7</v>
      </c>
      <c r="Z27" s="10">
        <v>49.46</v>
      </c>
      <c r="AA27" s="10">
        <v>49.54</v>
      </c>
      <c r="AB27" s="94">
        <v>2366100</v>
      </c>
      <c r="AC27" s="10">
        <v>49.54</v>
      </c>
      <c r="AD27" s="2">
        <f t="shared" si="0"/>
        <v>0.24000000000000199</v>
      </c>
      <c r="AE27" s="137">
        <f t="shared" si="1"/>
        <v>-6.4179703168872893E-3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42760</v>
      </c>
      <c r="X28" s="10">
        <v>49.64</v>
      </c>
      <c r="Y28" s="10">
        <v>49.88</v>
      </c>
      <c r="Z28" s="10">
        <v>49.63</v>
      </c>
      <c r="AA28" s="10">
        <v>49.86</v>
      </c>
      <c r="AB28" s="94">
        <v>2325700</v>
      </c>
      <c r="AC28" s="10">
        <v>49.86</v>
      </c>
      <c r="AD28" s="2">
        <f t="shared" si="0"/>
        <v>0.25</v>
      </c>
      <c r="AE28" s="137">
        <f t="shared" si="1"/>
        <v>1.1974832555307513E-2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42759</v>
      </c>
      <c r="X29" s="10">
        <v>49.14</v>
      </c>
      <c r="Y29" s="10">
        <v>49.34</v>
      </c>
      <c r="Z29" s="10">
        <v>49.1</v>
      </c>
      <c r="AA29" s="10">
        <v>49.27</v>
      </c>
      <c r="AB29" s="94">
        <v>2244300</v>
      </c>
      <c r="AC29" s="10">
        <v>49.27</v>
      </c>
      <c r="AD29" s="2">
        <f t="shared" si="0"/>
        <v>0.24000000000000199</v>
      </c>
      <c r="AE29" s="137">
        <f t="shared" si="1"/>
        <v>2.2375915378358702E-3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42758</v>
      </c>
      <c r="X30" s="10">
        <v>49.02</v>
      </c>
      <c r="Y30" s="10">
        <v>49.2</v>
      </c>
      <c r="Z30" s="10">
        <v>48.89</v>
      </c>
      <c r="AA30" s="10">
        <v>49.16</v>
      </c>
      <c r="AB30" s="94">
        <v>4429200</v>
      </c>
      <c r="AC30" s="10">
        <v>49.16</v>
      </c>
      <c r="AD30" s="2">
        <f t="shared" si="0"/>
        <v>0.31000000000000227</v>
      </c>
      <c r="AE30" s="137">
        <f t="shared" si="1"/>
        <v>3.2653061224490187E-3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42755</v>
      </c>
      <c r="X31" s="10">
        <v>48.84</v>
      </c>
      <c r="Y31" s="10">
        <v>49.03</v>
      </c>
      <c r="Z31" s="10">
        <v>48.83</v>
      </c>
      <c r="AA31" s="10">
        <v>49</v>
      </c>
      <c r="AB31" s="94">
        <v>3667100</v>
      </c>
      <c r="AC31" s="10">
        <v>49</v>
      </c>
      <c r="AD31" s="2">
        <f t="shared" si="0"/>
        <v>0.20000000000000284</v>
      </c>
      <c r="AE31" s="137">
        <f t="shared" si="1"/>
        <v>5.5407346603735252E-3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42754</v>
      </c>
      <c r="X32" s="10">
        <v>48.73</v>
      </c>
      <c r="Y32" s="10">
        <v>48.82</v>
      </c>
      <c r="Z32" s="10">
        <v>48.56</v>
      </c>
      <c r="AA32" s="10">
        <v>48.73</v>
      </c>
      <c r="AB32" s="94">
        <v>3592900</v>
      </c>
      <c r="AC32" s="10">
        <v>48.73</v>
      </c>
      <c r="AD32" s="2">
        <f t="shared" si="0"/>
        <v>0.25999999999999801</v>
      </c>
      <c r="AE32" s="137">
        <f t="shared" si="1"/>
        <v>-2.0479213598197932E-3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42753</v>
      </c>
      <c r="X33" s="10">
        <v>48.88</v>
      </c>
      <c r="Y33" s="10">
        <v>49</v>
      </c>
      <c r="Z33" s="10">
        <v>48.73</v>
      </c>
      <c r="AA33" s="10">
        <v>48.83</v>
      </c>
      <c r="AB33" s="94">
        <v>2556500</v>
      </c>
      <c r="AC33" s="10">
        <v>48.83</v>
      </c>
      <c r="AD33" s="2">
        <f t="shared" si="0"/>
        <v>0.27000000000000313</v>
      </c>
      <c r="AE33" s="137">
        <f t="shared" si="1"/>
        <v>-4.0791352233326972E-3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42752</v>
      </c>
      <c r="X34" s="10">
        <v>49.04</v>
      </c>
      <c r="Y34" s="10">
        <v>49.12</v>
      </c>
      <c r="Z34" s="10">
        <v>48.97</v>
      </c>
      <c r="AA34" s="10">
        <v>49.03</v>
      </c>
      <c r="AB34" s="94">
        <v>4644000</v>
      </c>
      <c r="AC34" s="10">
        <v>49.03</v>
      </c>
      <c r="AD34" s="2">
        <f t="shared" si="0"/>
        <v>0.14999999999999858</v>
      </c>
      <c r="AE34" s="137">
        <f t="shared" si="1"/>
        <v>0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42748</v>
      </c>
      <c r="X35" s="10">
        <v>49.03</v>
      </c>
      <c r="Y35" s="10">
        <v>49.09</v>
      </c>
      <c r="Z35" s="10">
        <v>48.89</v>
      </c>
      <c r="AA35" s="10">
        <v>49.03</v>
      </c>
      <c r="AB35" s="94">
        <v>2791500</v>
      </c>
      <c r="AC35" s="10">
        <v>49.03</v>
      </c>
      <c r="AD35" s="2">
        <f t="shared" si="0"/>
        <v>0.20000000000000284</v>
      </c>
      <c r="AE35" s="137">
        <f t="shared" si="1"/>
        <v>4.3015157722245956E-3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42747</v>
      </c>
      <c r="X36" s="10">
        <v>48.88</v>
      </c>
      <c r="Y36" s="10">
        <v>48.98</v>
      </c>
      <c r="Z36" s="10">
        <v>48.73</v>
      </c>
      <c r="AA36" s="10">
        <v>48.82</v>
      </c>
      <c r="AB36" s="94">
        <v>6740600</v>
      </c>
      <c r="AC36" s="10">
        <v>48.82</v>
      </c>
      <c r="AD36" s="2">
        <f t="shared" si="0"/>
        <v>0.25</v>
      </c>
      <c r="AE36" s="137">
        <f t="shared" si="1"/>
        <v>1.0252204223908379E-3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42746</v>
      </c>
      <c r="X37" s="10">
        <v>48.41</v>
      </c>
      <c r="Y37" s="10">
        <v>48.81</v>
      </c>
      <c r="Z37" s="10">
        <v>48.32</v>
      </c>
      <c r="AA37" s="10">
        <v>48.77</v>
      </c>
      <c r="AB37" s="94">
        <v>4040400</v>
      </c>
      <c r="AC37" s="10">
        <v>48.77</v>
      </c>
      <c r="AD37" s="2">
        <f t="shared" si="0"/>
        <v>0.49000000000000199</v>
      </c>
      <c r="AE37" s="137">
        <f t="shared" si="1"/>
        <v>5.1525144270403445E-3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42745</v>
      </c>
      <c r="X38" s="10">
        <v>48.55</v>
      </c>
      <c r="Y38" s="10">
        <v>48.71</v>
      </c>
      <c r="Z38" s="10">
        <v>48.52</v>
      </c>
      <c r="AA38" s="10">
        <v>48.52</v>
      </c>
      <c r="AB38" s="94">
        <v>2660800</v>
      </c>
      <c r="AC38" s="10">
        <v>48.52</v>
      </c>
      <c r="AD38" s="2">
        <f t="shared" si="0"/>
        <v>0.18999999999999773</v>
      </c>
      <c r="AE38" s="137">
        <f t="shared" si="1"/>
        <v>-2.0605810838647542E-4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48.41</v>
      </c>
      <c r="Y39" s="10">
        <v>48.59</v>
      </c>
      <c r="Z39" s="10">
        <v>48.32</v>
      </c>
      <c r="AA39" s="10">
        <v>48.53</v>
      </c>
      <c r="AB39" s="94">
        <v>2341400</v>
      </c>
      <c r="AC39" s="10">
        <v>48.53</v>
      </c>
      <c r="AD39" s="2">
        <f t="shared" si="0"/>
        <v>0.27000000000000313</v>
      </c>
      <c r="AE39" s="137">
        <f t="shared" si="1"/>
        <v>-3.4907597535934753E-3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42741</v>
      </c>
      <c r="X40" s="10">
        <v>48.68</v>
      </c>
      <c r="Y40" s="10">
        <v>48.82</v>
      </c>
      <c r="Z40" s="10">
        <v>48.62</v>
      </c>
      <c r="AA40" s="10">
        <v>48.7</v>
      </c>
      <c r="AB40" s="94">
        <v>2808900</v>
      </c>
      <c r="AC40" s="10">
        <v>48.7</v>
      </c>
      <c r="AD40" s="2">
        <f t="shared" si="0"/>
        <v>0.20000000000000284</v>
      </c>
      <c r="AE40" s="137">
        <f t="shared" si="1"/>
        <v>-4.903964037596964E-3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96.503000000000014</v>
      </c>
      <c r="Q41" s="2"/>
      <c r="W41" s="132">
        <v>42740</v>
      </c>
      <c r="X41" s="10">
        <v>48.58</v>
      </c>
      <c r="Y41" s="10">
        <v>49</v>
      </c>
      <c r="Z41" s="10">
        <v>48.58</v>
      </c>
      <c r="AA41" s="10">
        <v>48.94</v>
      </c>
      <c r="AB41" s="94">
        <v>5147600</v>
      </c>
      <c r="AC41" s="10">
        <v>48.94</v>
      </c>
      <c r="AD41" s="2">
        <f t="shared" si="0"/>
        <v>0.42000000000000171</v>
      </c>
      <c r="AE41" s="137">
        <f t="shared" si="1"/>
        <v>9.0721649484535316E-3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95.625700000000009</v>
      </c>
      <c r="Q42" s="2"/>
      <c r="T42" s="90" t="s">
        <v>113</v>
      </c>
      <c r="W42" s="132">
        <v>42739</v>
      </c>
      <c r="X42" s="10">
        <v>48.21</v>
      </c>
      <c r="Y42" s="10">
        <v>48.5</v>
      </c>
      <c r="Z42" s="10">
        <v>48.13</v>
      </c>
      <c r="AA42" s="10">
        <v>48.5</v>
      </c>
      <c r="AB42" s="94">
        <v>2781900</v>
      </c>
      <c r="AC42" s="10">
        <v>48.5</v>
      </c>
      <c r="AD42" s="2">
        <f t="shared" si="0"/>
        <v>0.36999999999999744</v>
      </c>
      <c r="AE42" s="137">
        <f t="shared" si="1"/>
        <v>8.3160083160083165E-3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94.748400000000004</v>
      </c>
      <c r="Q43" s="2"/>
      <c r="T43" s="127" t="s">
        <v>98</v>
      </c>
      <c r="U43" s="97">
        <v>49.98</v>
      </c>
      <c r="W43" s="132">
        <v>42738</v>
      </c>
      <c r="X43" s="10">
        <v>48.01</v>
      </c>
      <c r="Y43" s="10">
        <v>48.14</v>
      </c>
      <c r="Z43" s="10">
        <v>47.94</v>
      </c>
      <c r="AA43" s="10">
        <v>48.1</v>
      </c>
      <c r="AB43" s="94">
        <v>3816500</v>
      </c>
      <c r="AC43" s="10">
        <v>48.1</v>
      </c>
      <c r="AD43" s="2">
        <f t="shared" si="0"/>
        <v>0.20000000000000284</v>
      </c>
      <c r="AE43" s="137">
        <f t="shared" si="1"/>
        <v>3.3375052148518769E-3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93.871100000000013</v>
      </c>
      <c r="Q44" s="2"/>
      <c r="T44" s="92" t="s">
        <v>99</v>
      </c>
      <c r="U44" s="87">
        <v>50.11</v>
      </c>
      <c r="W44" s="132">
        <v>42734</v>
      </c>
      <c r="X44" s="10">
        <v>48.11</v>
      </c>
      <c r="Y44" s="10">
        <v>48.21</v>
      </c>
      <c r="Z44" s="10">
        <v>47.83</v>
      </c>
      <c r="AA44" s="10">
        <v>47.94</v>
      </c>
      <c r="AB44" s="94">
        <v>4786600</v>
      </c>
      <c r="AC44" s="10">
        <v>47.94</v>
      </c>
      <c r="AD44" s="2">
        <f t="shared" si="0"/>
        <v>0.38000000000000256</v>
      </c>
      <c r="AE44" s="137">
        <f t="shared" si="1"/>
        <v>5.4530201342282147E-3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92.993800000000007</v>
      </c>
      <c r="Q45" s="2"/>
      <c r="T45" s="92" t="s">
        <v>100</v>
      </c>
      <c r="U45" s="87" t="s">
        <v>129</v>
      </c>
      <c r="W45" s="132">
        <v>42733</v>
      </c>
      <c r="X45" s="10">
        <v>47.56</v>
      </c>
      <c r="Y45" s="10">
        <v>47.73</v>
      </c>
      <c r="Z45" s="10">
        <v>47.56</v>
      </c>
      <c r="AA45" s="10">
        <v>47.68</v>
      </c>
      <c r="AB45" s="94">
        <v>4123900</v>
      </c>
      <c r="AC45" s="10">
        <v>47.68</v>
      </c>
      <c r="AD45" s="2">
        <f t="shared" si="0"/>
        <v>0.1699999999999946</v>
      </c>
      <c r="AE45" s="137">
        <f t="shared" si="1"/>
        <v>6.9693769799366034E-3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92.116500000000002</v>
      </c>
      <c r="Q46" s="2"/>
      <c r="T46" s="92" t="s">
        <v>101</v>
      </c>
      <c r="U46" s="87" t="s">
        <v>129</v>
      </c>
      <c r="W46" s="132">
        <v>42732</v>
      </c>
      <c r="X46" s="10">
        <v>47.45</v>
      </c>
      <c r="Y46" s="10">
        <v>47.5</v>
      </c>
      <c r="Z46" s="10">
        <v>47.27</v>
      </c>
      <c r="AA46" s="10">
        <v>47.35</v>
      </c>
      <c r="AB46" s="94">
        <v>2599500</v>
      </c>
      <c r="AC46" s="10">
        <v>47.35</v>
      </c>
      <c r="AD46" s="2">
        <f t="shared" si="0"/>
        <v>0.22999999999999687</v>
      </c>
      <c r="AE46" s="137">
        <f t="shared" si="1"/>
        <v>-6.2959076600209718E-3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91.239200000000011</v>
      </c>
      <c r="Q47" s="2"/>
      <c r="T47" s="92" t="s">
        <v>338</v>
      </c>
      <c r="U47" s="87">
        <v>50.43</v>
      </c>
      <c r="W47" s="132">
        <v>42731</v>
      </c>
      <c r="X47" s="10">
        <v>47.61</v>
      </c>
      <c r="Y47" s="10">
        <v>47.7</v>
      </c>
      <c r="Z47" s="10">
        <v>47.59</v>
      </c>
      <c r="AA47" s="10">
        <v>47.65</v>
      </c>
      <c r="AB47" s="94">
        <v>2252200</v>
      </c>
      <c r="AC47" s="10">
        <v>47.65</v>
      </c>
      <c r="AD47" s="2">
        <f t="shared" si="0"/>
        <v>0.10999999999999943</v>
      </c>
      <c r="AE47" s="137">
        <f t="shared" si="1"/>
        <v>1.4712063892392546E-3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90.361900000000006</v>
      </c>
      <c r="Q48" s="2"/>
      <c r="T48" s="92" t="s">
        <v>339</v>
      </c>
      <c r="U48" s="87" t="s">
        <v>646</v>
      </c>
      <c r="W48" s="132">
        <v>42727</v>
      </c>
      <c r="X48" s="10">
        <v>47.42</v>
      </c>
      <c r="Y48" s="10">
        <v>47.58</v>
      </c>
      <c r="Z48" s="10">
        <v>47.41</v>
      </c>
      <c r="AA48" s="10">
        <v>47.58</v>
      </c>
      <c r="AB48" s="94">
        <v>2410700</v>
      </c>
      <c r="AC48" s="10">
        <v>47.58</v>
      </c>
      <c r="AD48" s="2">
        <f t="shared" si="0"/>
        <v>0.17000000000000171</v>
      </c>
      <c r="AE48" s="137">
        <f t="shared" si="1"/>
        <v>4.0092846592107989E-3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89.4846</v>
      </c>
      <c r="Q49" s="2"/>
      <c r="T49" s="92" t="s">
        <v>340</v>
      </c>
      <c r="U49" s="448">
        <v>3.5700000000000003E-2</v>
      </c>
      <c r="W49" s="132">
        <v>42726</v>
      </c>
      <c r="X49" s="10">
        <v>47.5</v>
      </c>
      <c r="Y49" s="10">
        <v>47.59</v>
      </c>
      <c r="Z49" s="10">
        <v>47.35</v>
      </c>
      <c r="AA49" s="10">
        <v>47.39</v>
      </c>
      <c r="AB49" s="94">
        <v>3123900</v>
      </c>
      <c r="AC49" s="10">
        <v>47.39</v>
      </c>
      <c r="AD49" s="2">
        <f t="shared" si="0"/>
        <v>0.24000000000000199</v>
      </c>
      <c r="AE49" s="137">
        <f t="shared" si="1"/>
        <v>-1.8955349620892736E-3</v>
      </c>
    </row>
    <row r="50" spans="1:31" x14ac:dyDescent="0.25">
      <c r="O50" s="82">
        <v>1.01</v>
      </c>
      <c r="P50" s="82">
        <f t="shared" si="2"/>
        <v>88.607300000000009</v>
      </c>
      <c r="Q50" s="2"/>
      <c r="T50" s="92"/>
      <c r="U50" s="87"/>
      <c r="W50" s="132">
        <v>42725</v>
      </c>
      <c r="X50" s="10">
        <v>47.47</v>
      </c>
      <c r="Y50" s="10">
        <v>47.54</v>
      </c>
      <c r="Z50" s="10">
        <v>47.43</v>
      </c>
      <c r="AA50" s="10">
        <v>47.48</v>
      </c>
      <c r="AB50" s="94">
        <v>5485700</v>
      </c>
      <c r="AC50" s="10">
        <v>47.48</v>
      </c>
      <c r="AD50" s="2">
        <f t="shared" si="0"/>
        <v>0.10999999999999943</v>
      </c>
      <c r="AE50" s="137">
        <f t="shared" si="1"/>
        <v>2.5337837837837718E-3</v>
      </c>
    </row>
    <row r="51" spans="1:31" x14ac:dyDescent="0.25">
      <c r="O51" s="82">
        <v>1</v>
      </c>
      <c r="P51" s="82">
        <f t="shared" si="2"/>
        <v>87.73</v>
      </c>
      <c r="Q51" s="2"/>
      <c r="T51" s="92" t="s">
        <v>105</v>
      </c>
      <c r="U51" s="87" t="s">
        <v>647</v>
      </c>
      <c r="W51" s="132">
        <v>42724</v>
      </c>
      <c r="X51" s="10">
        <v>47.27</v>
      </c>
      <c r="Y51" s="10">
        <v>47.42</v>
      </c>
      <c r="Z51" s="10">
        <v>47.21</v>
      </c>
      <c r="AA51" s="10">
        <v>47.36</v>
      </c>
      <c r="AB51" s="94">
        <v>4269700</v>
      </c>
      <c r="AC51" s="10">
        <v>47.36</v>
      </c>
      <c r="AD51" s="2">
        <f t="shared" si="0"/>
        <v>0.21000000000000085</v>
      </c>
      <c r="AE51" s="137" t="e">
        <f t="shared" si="1"/>
        <v>#DIV/0!</v>
      </c>
    </row>
    <row r="52" spans="1:31" x14ac:dyDescent="0.25">
      <c r="O52" s="82">
        <v>0.99</v>
      </c>
      <c r="P52" s="82">
        <f t="shared" si="2"/>
        <v>86.852699999999999</v>
      </c>
      <c r="Q52" s="2"/>
      <c r="T52" s="92" t="s">
        <v>106</v>
      </c>
      <c r="U52" s="87" t="s">
        <v>358</v>
      </c>
      <c r="W52" s="132">
        <v>42724</v>
      </c>
      <c r="X52" s="10" t="s">
        <v>348</v>
      </c>
      <c r="Y52" s="10"/>
      <c r="Z52" s="10"/>
      <c r="AA52" s="10"/>
      <c r="AB52" s="94"/>
      <c r="AC52" s="10"/>
      <c r="AD52" s="2">
        <f t="shared" si="0"/>
        <v>0</v>
      </c>
      <c r="AE52" s="137">
        <f t="shared" si="1"/>
        <v>-1</v>
      </c>
    </row>
    <row r="53" spans="1:31" x14ac:dyDescent="0.25">
      <c r="L53" t="s">
        <v>65</v>
      </c>
      <c r="M53" s="2">
        <f>K71+M71-F71</f>
        <v>636.93000000000029</v>
      </c>
      <c r="O53" s="82">
        <v>0.98</v>
      </c>
      <c r="P53" s="82">
        <f t="shared" si="2"/>
        <v>85.975400000000008</v>
      </c>
      <c r="Q53" s="2"/>
      <c r="T53" s="92" t="s">
        <v>107</v>
      </c>
      <c r="U53" s="89">
        <v>4847809</v>
      </c>
      <c r="W53" s="132">
        <v>42723</v>
      </c>
      <c r="X53" s="10">
        <v>47.55</v>
      </c>
      <c r="Y53" s="10">
        <v>47.71</v>
      </c>
      <c r="Z53" s="10">
        <v>47.44</v>
      </c>
      <c r="AA53" s="10">
        <v>47.46</v>
      </c>
      <c r="AB53" s="94">
        <v>5669000</v>
      </c>
      <c r="AC53" s="10">
        <v>47.23</v>
      </c>
      <c r="AD53" s="2">
        <f t="shared" si="0"/>
        <v>0.27000000000000313</v>
      </c>
      <c r="AE53" s="137">
        <f t="shared" si="1"/>
        <v>-3.5864978902954148E-3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2"/>
        <v>85.098100000000002</v>
      </c>
      <c r="T54" s="92" t="s">
        <v>110</v>
      </c>
      <c r="U54" s="89">
        <v>3333700</v>
      </c>
      <c r="W54" s="132">
        <v>42720</v>
      </c>
      <c r="X54" s="10">
        <v>47.52</v>
      </c>
      <c r="Y54" s="10">
        <v>47.78</v>
      </c>
      <c r="Z54" s="10">
        <v>47.47</v>
      </c>
      <c r="AA54" s="10">
        <v>47.63</v>
      </c>
      <c r="AB54" s="94">
        <v>3755800</v>
      </c>
      <c r="AC54" s="10">
        <v>47.4</v>
      </c>
      <c r="AD54" s="2">
        <f t="shared" si="0"/>
        <v>0.31000000000000227</v>
      </c>
      <c r="AE54" s="137">
        <f t="shared" si="1"/>
        <v>5.0890585241729624E-3</v>
      </c>
    </row>
    <row r="55" spans="1:31" x14ac:dyDescent="0.25">
      <c r="A55" s="264" t="s">
        <v>430</v>
      </c>
      <c r="B55" s="73">
        <v>42767</v>
      </c>
      <c r="C55" s="4">
        <v>35</v>
      </c>
      <c r="D55" s="3">
        <v>69.58</v>
      </c>
      <c r="E55" s="3">
        <v>0</v>
      </c>
      <c r="F55" s="3">
        <f>C55*D55+E55</f>
        <v>2435.2999999999997</v>
      </c>
      <c r="G55" s="73">
        <v>42803</v>
      </c>
      <c r="H55" s="184">
        <v>35</v>
      </c>
      <c r="I55" s="3">
        <v>87.78</v>
      </c>
      <c r="J55" s="3">
        <v>7.0000000000000007E-2</v>
      </c>
      <c r="K55" s="3">
        <f>I55*H55-J55</f>
        <v>3072.23</v>
      </c>
      <c r="L55" s="73"/>
      <c r="M55" s="260"/>
      <c r="O55" s="82">
        <v>0.96</v>
      </c>
      <c r="P55" s="82">
        <f t="shared" si="2"/>
        <v>84.220799999999997</v>
      </c>
      <c r="T55" s="92" t="s">
        <v>341</v>
      </c>
      <c r="U55" s="87">
        <v>15</v>
      </c>
      <c r="W55" s="132">
        <v>42719</v>
      </c>
      <c r="X55" s="10">
        <v>47.35</v>
      </c>
      <c r="Y55" s="10">
        <v>47.46</v>
      </c>
      <c r="Z55" s="10">
        <v>47.26</v>
      </c>
      <c r="AA55" s="10">
        <v>47.39</v>
      </c>
      <c r="AB55" s="94">
        <v>3651200</v>
      </c>
      <c r="AC55" s="10">
        <v>47.16</v>
      </c>
      <c r="AD55" s="2">
        <f t="shared" si="0"/>
        <v>0.20000000000000284</v>
      </c>
      <c r="AE55" s="137">
        <f t="shared" si="1"/>
        <v>-6.3572790845523031E-4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/>
      <c r="H56" s="266"/>
      <c r="I56" s="261"/>
      <c r="J56" s="261"/>
      <c r="K56" s="261"/>
      <c r="L56" s="260"/>
      <c r="M56" s="260"/>
      <c r="O56" s="82">
        <v>0.95</v>
      </c>
      <c r="P56" s="82">
        <f t="shared" si="2"/>
        <v>83.343500000000006</v>
      </c>
      <c r="T56" s="92" t="s">
        <v>342</v>
      </c>
      <c r="U56" s="87">
        <v>3.4</v>
      </c>
      <c r="W56" s="132">
        <v>42718</v>
      </c>
      <c r="X56" s="10">
        <v>48.05</v>
      </c>
      <c r="Y56" s="10">
        <v>48.23</v>
      </c>
      <c r="Z56" s="10">
        <v>47.36</v>
      </c>
      <c r="AA56" s="10">
        <v>47.42</v>
      </c>
      <c r="AB56" s="94">
        <v>4537100</v>
      </c>
      <c r="AC56" s="10">
        <v>47.19</v>
      </c>
      <c r="AD56" s="2">
        <f t="shared" si="0"/>
        <v>0.86999999999999744</v>
      </c>
      <c r="AE56" s="137">
        <f t="shared" si="1"/>
        <v>-1.5644555694618312E-2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2"/>
        <v>82.466200000000001</v>
      </c>
      <c r="T57" s="92"/>
      <c r="U57" s="87"/>
      <c r="W57" s="132">
        <v>42717</v>
      </c>
      <c r="X57" s="10">
        <v>47.99</v>
      </c>
      <c r="Y57" s="10">
        <v>48.33</v>
      </c>
      <c r="Z57" s="10">
        <v>47.99</v>
      </c>
      <c r="AA57" s="10">
        <v>48.17</v>
      </c>
      <c r="AB57" s="94">
        <v>3382000</v>
      </c>
      <c r="AC57" s="10">
        <v>47.94</v>
      </c>
      <c r="AD57" s="2">
        <f t="shared" si="0"/>
        <v>0.33999999999999631</v>
      </c>
      <c r="AE57" s="137">
        <f t="shared" si="1"/>
        <v>1.0752688172043001E-2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2"/>
        <v>81.58890000000001</v>
      </c>
      <c r="T58" s="92"/>
      <c r="U58" s="87"/>
      <c r="W58" s="132">
        <v>42716</v>
      </c>
      <c r="X58" s="10">
        <v>47.57</v>
      </c>
      <c r="Y58" s="10">
        <v>47.8</v>
      </c>
      <c r="Z58" s="10">
        <v>47.52</v>
      </c>
      <c r="AA58" s="10">
        <v>47.66</v>
      </c>
      <c r="AB58" s="94">
        <v>2894400</v>
      </c>
      <c r="AC58" s="10">
        <v>47.43</v>
      </c>
      <c r="AD58" s="2">
        <f t="shared" si="0"/>
        <v>0.27999999999999403</v>
      </c>
      <c r="AE58" s="137">
        <f t="shared" si="1"/>
        <v>-1.4736842105262937E-3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2"/>
        <v>80.711600000000004</v>
      </c>
      <c r="W59" s="132">
        <v>42713</v>
      </c>
      <c r="X59" s="10">
        <v>47.53</v>
      </c>
      <c r="Y59" s="10">
        <v>47.74</v>
      </c>
      <c r="Z59" s="10">
        <v>47.44</v>
      </c>
      <c r="AA59" s="10">
        <v>47.73</v>
      </c>
      <c r="AB59" s="94">
        <v>3177200</v>
      </c>
      <c r="AC59" s="10">
        <v>47.5</v>
      </c>
      <c r="AD59" s="2">
        <f t="shared" si="0"/>
        <v>0.30000000000000426</v>
      </c>
      <c r="AE59" s="137">
        <f t="shared" si="1"/>
        <v>5.5038103302285091E-3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2"/>
        <v>79.834300000000013</v>
      </c>
      <c r="W60" s="132">
        <v>42712</v>
      </c>
      <c r="X60" s="10">
        <v>47.48</v>
      </c>
      <c r="Y60" s="10">
        <v>47.55</v>
      </c>
      <c r="Z60" s="10">
        <v>47.3</v>
      </c>
      <c r="AA60" s="10">
        <v>47.47</v>
      </c>
      <c r="AB60" s="94">
        <v>5131300</v>
      </c>
      <c r="AC60" s="10">
        <v>47.24</v>
      </c>
      <c r="AD60" s="2">
        <f t="shared" si="0"/>
        <v>0.25</v>
      </c>
      <c r="AE60" s="137">
        <f t="shared" si="1"/>
        <v>-5.8922558922559487E-3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2"/>
        <v>78.957000000000008</v>
      </c>
      <c r="W61" s="132">
        <v>42711</v>
      </c>
      <c r="X61" s="10">
        <v>47.19</v>
      </c>
      <c r="Y61" s="10">
        <v>47.86</v>
      </c>
      <c r="Z61" s="10">
        <v>47.19</v>
      </c>
      <c r="AA61" s="10">
        <v>47.75</v>
      </c>
      <c r="AB61" s="94">
        <v>3526900</v>
      </c>
      <c r="AC61" s="10">
        <v>47.52</v>
      </c>
      <c r="AD61" s="2">
        <f t="shared" si="0"/>
        <v>0.67000000000000171</v>
      </c>
      <c r="AE61" s="137">
        <f t="shared" si="1"/>
        <v>1.343570057581589E-2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42710</v>
      </c>
      <c r="X62" s="10">
        <v>46.7</v>
      </c>
      <c r="Y62" s="10">
        <v>47.13</v>
      </c>
      <c r="Z62" s="10">
        <v>46.7</v>
      </c>
      <c r="AA62" s="10">
        <v>47.11</v>
      </c>
      <c r="AB62" s="94">
        <v>4126500</v>
      </c>
      <c r="AC62" s="10">
        <v>46.89</v>
      </c>
      <c r="AD62" s="2">
        <f t="shared" si="0"/>
        <v>0.42999999999999972</v>
      </c>
      <c r="AE62" s="137">
        <f t="shared" si="1"/>
        <v>9.2552733534223552E-3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42709</v>
      </c>
      <c r="X63" s="10">
        <v>46.42</v>
      </c>
      <c r="Y63" s="10">
        <v>46.73</v>
      </c>
      <c r="Z63" s="10">
        <v>46.35</v>
      </c>
      <c r="AA63" s="10">
        <v>46.68</v>
      </c>
      <c r="AB63" s="94">
        <v>4250100</v>
      </c>
      <c r="AC63" s="10">
        <v>46.46</v>
      </c>
      <c r="AD63" s="2">
        <f t="shared" si="0"/>
        <v>0.37999999999999545</v>
      </c>
      <c r="AE63" s="137">
        <f t="shared" si="1"/>
        <v>1.5075376884422065E-2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42706</v>
      </c>
      <c r="X64" s="10">
        <v>45.67</v>
      </c>
      <c r="Y64" s="10">
        <v>46.1</v>
      </c>
      <c r="Z64" s="10">
        <v>45.65</v>
      </c>
      <c r="AA64" s="10">
        <v>45.99</v>
      </c>
      <c r="AB64" s="94">
        <v>5255800</v>
      </c>
      <c r="AC64" s="10">
        <v>45.77</v>
      </c>
      <c r="AD64" s="2">
        <f t="shared" si="0"/>
        <v>0.45000000000000284</v>
      </c>
      <c r="AE64" s="137">
        <f t="shared" si="1"/>
        <v>3.2880315651031555E-3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42705</v>
      </c>
      <c r="X65" s="10">
        <v>45.85</v>
      </c>
      <c r="Y65" s="10">
        <v>45.96</v>
      </c>
      <c r="Z65" s="10">
        <v>45.72</v>
      </c>
      <c r="AA65" s="10">
        <v>45.84</v>
      </c>
      <c r="AB65" s="94">
        <v>2651500</v>
      </c>
      <c r="AC65" s="10">
        <v>45.62</v>
      </c>
      <c r="AD65" s="2">
        <f t="shared" si="0"/>
        <v>0.24000000000000199</v>
      </c>
      <c r="AE65" s="137">
        <f t="shared" si="1"/>
        <v>-1.5320639089516641E-3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42704</v>
      </c>
      <c r="X66" s="10">
        <v>46.03</v>
      </c>
      <c r="Y66" s="10">
        <v>46.08</v>
      </c>
      <c r="Z66" s="10">
        <v>45.82</v>
      </c>
      <c r="AA66" s="10">
        <v>45.91</v>
      </c>
      <c r="AB66" s="94">
        <v>4140400</v>
      </c>
      <c r="AC66" s="10">
        <v>45.69</v>
      </c>
      <c r="AD66" s="2">
        <f t="shared" si="0"/>
        <v>0.25999999999999801</v>
      </c>
      <c r="AE66" s="137">
        <f t="shared" si="1"/>
        <v>-6.5616797900269752E-4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42703</v>
      </c>
      <c r="X67" s="10">
        <v>45.58</v>
      </c>
      <c r="Y67" s="10">
        <v>46</v>
      </c>
      <c r="Z67" s="10">
        <v>45.55</v>
      </c>
      <c r="AA67" s="10">
        <v>45.94</v>
      </c>
      <c r="AB67" s="94">
        <v>2878900</v>
      </c>
      <c r="AC67" s="10">
        <v>45.72</v>
      </c>
      <c r="AD67" s="2">
        <f>Y67-Z67</f>
        <v>0.45000000000000284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42702</v>
      </c>
      <c r="X68" s="10">
        <v>45.75</v>
      </c>
      <c r="Y68" s="10">
        <v>45.76</v>
      </c>
      <c r="Z68" s="10">
        <v>45.52</v>
      </c>
      <c r="AA68" s="10">
        <v>45.54</v>
      </c>
      <c r="AB68" s="94">
        <v>2503900</v>
      </c>
      <c r="AC68" s="10">
        <v>45.32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35</v>
      </c>
      <c r="D71" s="18"/>
      <c r="E71" s="18"/>
      <c r="F71" s="18">
        <f>SUM(F55:F59)</f>
        <v>2435.2999999999997</v>
      </c>
      <c r="G71" s="14"/>
      <c r="H71" s="14">
        <f>SUM(H55:H58)</f>
        <v>35</v>
      </c>
      <c r="I71" s="18"/>
      <c r="J71" s="18"/>
      <c r="K71" s="18">
        <f>SUM(K55:K58)</f>
        <v>3072.23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{4339F7F9-B350-4B95-957D-2248AED3BDEC}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35" priority="9">
      <formula>F39&gt;0</formula>
    </cfRule>
    <cfRule type="expression" dxfId="634" priority="10">
      <formula>F39&lt;0</formula>
    </cfRule>
  </conditionalFormatting>
  <conditionalFormatting sqref="F25:F38">
    <cfRule type="expression" dxfId="633" priority="7">
      <formula>F25&gt;0</formula>
    </cfRule>
    <cfRule type="expression" dxfId="632" priority="8">
      <formula>F25&lt;0</formula>
    </cfRule>
  </conditionalFormatting>
  <conditionalFormatting sqref="H25:H38">
    <cfRule type="expression" dxfId="631" priority="5">
      <formula>H25&gt;0</formula>
    </cfRule>
    <cfRule type="expression" dxfId="630" priority="6">
      <formula>H25&lt;0</formula>
    </cfRule>
  </conditionalFormatting>
  <conditionalFormatting sqref="Q7">
    <cfRule type="expression" dxfId="629" priority="3">
      <formula>Q7&gt;0</formula>
    </cfRule>
    <cfRule type="expression" dxfId="628" priority="4">
      <formula>Q7&lt;0</formula>
    </cfRule>
  </conditionalFormatting>
  <conditionalFormatting sqref="Q8">
    <cfRule type="expression" dxfId="627" priority="1">
      <formula>Q8&gt;0</formula>
    </cfRule>
    <cfRule type="expression" dxfId="62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39F7F9-B350-4B95-957D-2248AED3BD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topLeftCell="M1"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42797</v>
      </c>
      <c r="X2" s="10">
        <v>50.11</v>
      </c>
      <c r="Y2" s="10">
        <v>50.45</v>
      </c>
      <c r="Z2" s="10">
        <v>50.05</v>
      </c>
      <c r="AA2" s="10">
        <v>50.38</v>
      </c>
      <c r="AB2" s="94">
        <v>4847800</v>
      </c>
      <c r="AC2" s="10">
        <v>50.38</v>
      </c>
      <c r="AD2" s="2">
        <f>Y2-Z2</f>
        <v>0.40000000000000568</v>
      </c>
      <c r="AE2" s="137">
        <f>AC2/AC3-1</f>
        <v>8.0032012805122399E-3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50.52</v>
      </c>
      <c r="T3" s="1"/>
      <c r="W3" s="132">
        <v>42796</v>
      </c>
      <c r="X3" s="10">
        <v>50.02</v>
      </c>
      <c r="Y3" s="10">
        <v>50.14</v>
      </c>
      <c r="Z3" s="10">
        <v>49.96</v>
      </c>
      <c r="AA3" s="10">
        <v>49.98</v>
      </c>
      <c r="AB3" s="94">
        <v>2195800</v>
      </c>
      <c r="AC3" s="10">
        <v>49.98</v>
      </c>
      <c r="AD3" s="2">
        <f t="shared" ref="AD3:AD66" si="0">Y3-Z3</f>
        <v>0.17999999999999972</v>
      </c>
      <c r="AE3" s="137">
        <f t="shared" ref="AE3:AE66" si="1">AC3/AC4-1</f>
        <v>-3.7871237791510248E-3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50.52</v>
      </c>
      <c r="R4" s="499">
        <v>8.9999999999999993E-3</v>
      </c>
      <c r="T4" s="162"/>
      <c r="U4" s="1"/>
      <c r="W4" s="132">
        <v>42795</v>
      </c>
      <c r="X4" s="10">
        <v>49.98</v>
      </c>
      <c r="Y4" s="10">
        <v>50.32</v>
      </c>
      <c r="Z4" s="10">
        <v>49.96</v>
      </c>
      <c r="AA4" s="10">
        <v>50.17</v>
      </c>
      <c r="AB4" s="94">
        <v>3855500</v>
      </c>
      <c r="AC4" s="10">
        <v>50.17</v>
      </c>
      <c r="AD4" s="2">
        <f t="shared" si="0"/>
        <v>0.35999999999999943</v>
      </c>
      <c r="AE4" s="137">
        <f t="shared" si="1"/>
        <v>1.0473313192346456E-2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42794</v>
      </c>
      <c r="X5" s="10">
        <v>49.66</v>
      </c>
      <c r="Y5" s="10">
        <v>49.84</v>
      </c>
      <c r="Z5" s="10">
        <v>49.59</v>
      </c>
      <c r="AA5" s="10">
        <v>49.65</v>
      </c>
      <c r="AB5" s="94">
        <v>3502400</v>
      </c>
      <c r="AC5" s="10">
        <v>49.65</v>
      </c>
      <c r="AD5" s="2">
        <f t="shared" si="0"/>
        <v>0.25</v>
      </c>
      <c r="AE5" s="137">
        <f t="shared" si="1"/>
        <v>-1.006036217303885E-3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42793</v>
      </c>
      <c r="X6" s="10">
        <v>49.48</v>
      </c>
      <c r="Y6" s="10">
        <v>49.73</v>
      </c>
      <c r="Z6" s="10">
        <v>49.47</v>
      </c>
      <c r="AA6" s="10">
        <v>49.7</v>
      </c>
      <c r="AB6" s="94">
        <v>1892800</v>
      </c>
      <c r="AC6" s="10">
        <v>49.7</v>
      </c>
      <c r="AD6" s="2">
        <f t="shared" si="0"/>
        <v>0.25999999999999801</v>
      </c>
      <c r="AE6" s="137">
        <f t="shared" si="1"/>
        <v>2.4203307785397588E-3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42790</v>
      </c>
      <c r="X7" s="10">
        <v>49.4</v>
      </c>
      <c r="Y7" s="10">
        <v>49.64</v>
      </c>
      <c r="Z7" s="10">
        <v>49.37</v>
      </c>
      <c r="AA7" s="10">
        <v>49.58</v>
      </c>
      <c r="AB7" s="94">
        <v>2722000</v>
      </c>
      <c r="AC7" s="10">
        <v>49.58</v>
      </c>
      <c r="AD7" s="2">
        <f t="shared" si="0"/>
        <v>0.27000000000000313</v>
      </c>
      <c r="AE7" s="137">
        <f t="shared" si="1"/>
        <v>-8.9946032380572305E-3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42789</v>
      </c>
      <c r="X8" s="10">
        <v>50.06</v>
      </c>
      <c r="Y8" s="10">
        <v>50.1</v>
      </c>
      <c r="Z8" s="10">
        <v>49.9</v>
      </c>
      <c r="AA8" s="10">
        <v>50.03</v>
      </c>
      <c r="AB8" s="94">
        <v>2126800</v>
      </c>
      <c r="AC8" s="10">
        <v>50.03</v>
      </c>
      <c r="AD8" s="2">
        <f t="shared" si="0"/>
        <v>0.20000000000000284</v>
      </c>
      <c r="AE8" s="137">
        <f t="shared" si="1"/>
        <v>2.4043277900220872E-3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42788</v>
      </c>
      <c r="X9" s="10">
        <v>49.63</v>
      </c>
      <c r="Y9" s="10">
        <v>49.94</v>
      </c>
      <c r="Z9" s="10">
        <v>49.57</v>
      </c>
      <c r="AA9" s="10">
        <v>49.91</v>
      </c>
      <c r="AB9" s="94">
        <v>4093800</v>
      </c>
      <c r="AC9" s="10">
        <v>49.91</v>
      </c>
      <c r="AD9" s="2">
        <f t="shared" si="0"/>
        <v>0.36999999999999744</v>
      </c>
      <c r="AE9" s="137">
        <f t="shared" si="1"/>
        <v>-2.0032051282059538E-4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42787</v>
      </c>
      <c r="X10" s="10">
        <v>49.7</v>
      </c>
      <c r="Y10" s="10">
        <v>49.94</v>
      </c>
      <c r="Z10" s="10">
        <v>49.69</v>
      </c>
      <c r="AA10" s="10">
        <v>49.92</v>
      </c>
      <c r="AB10" s="94">
        <v>3164300</v>
      </c>
      <c r="AC10" s="10">
        <v>49.92</v>
      </c>
      <c r="AD10" s="2">
        <f t="shared" si="0"/>
        <v>0.25</v>
      </c>
      <c r="AE10" s="137">
        <f t="shared" si="1"/>
        <v>2.0036064916850727E-4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42783</v>
      </c>
      <c r="X11" s="10">
        <v>49.77</v>
      </c>
      <c r="Y11" s="10">
        <v>49.92</v>
      </c>
      <c r="Z11" s="10">
        <v>49.71</v>
      </c>
      <c r="AA11" s="10">
        <v>49.91</v>
      </c>
      <c r="AB11" s="94">
        <v>3773200</v>
      </c>
      <c r="AC11" s="10">
        <v>49.91</v>
      </c>
      <c r="AD11" s="2">
        <f t="shared" si="0"/>
        <v>0.21000000000000085</v>
      </c>
      <c r="AE11" s="137">
        <f t="shared" si="1"/>
        <v>-3.5935316430426578E-3</v>
      </c>
    </row>
    <row r="12" spans="1:31" x14ac:dyDescent="0.25">
      <c r="H12" s="71"/>
      <c r="W12" s="132">
        <v>42782</v>
      </c>
      <c r="X12" s="10">
        <v>49.96</v>
      </c>
      <c r="Y12" s="10">
        <v>50.09</v>
      </c>
      <c r="Z12" s="10">
        <v>49.93</v>
      </c>
      <c r="AA12" s="10">
        <v>50.09</v>
      </c>
      <c r="AB12" s="94">
        <v>2035500</v>
      </c>
      <c r="AC12" s="10">
        <v>50.09</v>
      </c>
      <c r="AD12" s="2">
        <f t="shared" si="0"/>
        <v>0.16000000000000369</v>
      </c>
      <c r="AE12" s="137">
        <f t="shared" si="1"/>
        <v>4.008819402685937E-3</v>
      </c>
    </row>
    <row r="13" spans="1:31" x14ac:dyDescent="0.25">
      <c r="H13" s="71"/>
      <c r="W13" s="132">
        <v>42781</v>
      </c>
      <c r="X13" s="10">
        <v>49.47</v>
      </c>
      <c r="Y13" s="10">
        <v>49.89</v>
      </c>
      <c r="Z13" s="10">
        <v>49.44</v>
      </c>
      <c r="AA13" s="10">
        <v>49.89</v>
      </c>
      <c r="AB13" s="94">
        <v>2867700</v>
      </c>
      <c r="AC13" s="10">
        <v>49.89</v>
      </c>
      <c r="AD13" s="2">
        <f t="shared" si="0"/>
        <v>0.45000000000000284</v>
      </c>
      <c r="AE13" s="137">
        <f t="shared" si="1"/>
        <v>4.6314941602900728E-3</v>
      </c>
    </row>
    <row r="14" spans="1:31" x14ac:dyDescent="0.25">
      <c r="H14" s="71"/>
      <c r="W14" s="132">
        <v>42780</v>
      </c>
      <c r="X14" s="10">
        <v>49.63</v>
      </c>
      <c r="Y14" s="10">
        <v>49.69</v>
      </c>
      <c r="Z14" s="10">
        <v>49.44</v>
      </c>
      <c r="AA14" s="10">
        <v>49.66</v>
      </c>
      <c r="AB14" s="94">
        <v>2379000</v>
      </c>
      <c r="AC14" s="10">
        <v>49.66</v>
      </c>
      <c r="AD14" s="2">
        <f t="shared" si="0"/>
        <v>0.25</v>
      </c>
      <c r="AE14" s="137">
        <f t="shared" si="1"/>
        <v>2.0140986908345759E-4</v>
      </c>
    </row>
    <row r="15" spans="1:31" x14ac:dyDescent="0.25">
      <c r="H15" s="71"/>
      <c r="W15" s="132">
        <v>42779</v>
      </c>
      <c r="X15" s="10">
        <v>49.74</v>
      </c>
      <c r="Y15" s="10">
        <v>49.76</v>
      </c>
      <c r="Z15" s="10">
        <v>49.6</v>
      </c>
      <c r="AA15" s="10">
        <v>49.65</v>
      </c>
      <c r="AB15" s="94">
        <v>2474800</v>
      </c>
      <c r="AC15" s="10">
        <v>49.65</v>
      </c>
      <c r="AD15" s="2">
        <f t="shared" si="0"/>
        <v>0.15999999999999659</v>
      </c>
      <c r="AE15" s="137">
        <f t="shared" si="1"/>
        <v>3.6385688295936802E-3</v>
      </c>
    </row>
    <row r="16" spans="1:31" x14ac:dyDescent="0.25">
      <c r="H16" s="71"/>
      <c r="W16" s="132">
        <v>42776</v>
      </c>
      <c r="X16" s="10">
        <v>49.3</v>
      </c>
      <c r="Y16" s="10">
        <v>49.53</v>
      </c>
      <c r="Z16" s="10">
        <v>49.27</v>
      </c>
      <c r="AA16" s="10">
        <v>49.47</v>
      </c>
      <c r="AB16" s="94">
        <v>2778800</v>
      </c>
      <c r="AC16" s="10">
        <v>49.47</v>
      </c>
      <c r="AD16" s="2">
        <f t="shared" si="0"/>
        <v>0.25999999999999801</v>
      </c>
      <c r="AE16" s="137">
        <f t="shared" si="1"/>
        <v>2.021835826930829E-4</v>
      </c>
    </row>
    <row r="17" spans="1:31" x14ac:dyDescent="0.25">
      <c r="W17" s="132">
        <v>42775</v>
      </c>
      <c r="X17" s="10">
        <v>49.44</v>
      </c>
      <c r="Y17" s="10">
        <v>49.57</v>
      </c>
      <c r="Z17" s="10">
        <v>49.37</v>
      </c>
      <c r="AA17" s="10">
        <v>49.46</v>
      </c>
      <c r="AB17" s="94">
        <v>3440000</v>
      </c>
      <c r="AC17" s="10">
        <v>49.46</v>
      </c>
      <c r="AD17" s="2">
        <f t="shared" si="0"/>
        <v>0.20000000000000284</v>
      </c>
      <c r="AE17" s="137">
        <f t="shared" si="1"/>
        <v>3.4489754514099857E-3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49.09</v>
      </c>
      <c r="Y18" s="10">
        <v>49.3</v>
      </c>
      <c r="Z18" s="10">
        <v>48.99</v>
      </c>
      <c r="AA18" s="10">
        <v>49.29</v>
      </c>
      <c r="AB18" s="94">
        <v>1506200</v>
      </c>
      <c r="AC18" s="10">
        <v>49.29</v>
      </c>
      <c r="AD18" s="2">
        <f t="shared" si="0"/>
        <v>0.30999999999999517</v>
      </c>
      <c r="AE18" s="137">
        <f t="shared" si="1"/>
        <v>1.8292682926828174E-3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49.07</v>
      </c>
      <c r="Y19" s="10">
        <v>49.22</v>
      </c>
      <c r="Z19" s="10">
        <v>49.07</v>
      </c>
      <c r="AA19" s="10">
        <v>49.2</v>
      </c>
      <c r="AB19" s="94">
        <v>2331600</v>
      </c>
      <c r="AC19" s="10">
        <v>49.2</v>
      </c>
      <c r="AD19" s="2">
        <f t="shared" si="0"/>
        <v>0.14999999999999858</v>
      </c>
      <c r="AE19" s="137">
        <f t="shared" si="1"/>
        <v>4.0666937779598733E-4</v>
      </c>
    </row>
    <row r="20" spans="1:31" x14ac:dyDescent="0.25">
      <c r="W20" s="132">
        <v>42772</v>
      </c>
      <c r="X20" s="10">
        <v>49.15</v>
      </c>
      <c r="Y20" s="10">
        <v>49.23</v>
      </c>
      <c r="Z20" s="10">
        <v>49.03</v>
      </c>
      <c r="AA20" s="10">
        <v>49.18</v>
      </c>
      <c r="AB20" s="94">
        <v>2295600</v>
      </c>
      <c r="AC20" s="10">
        <v>49.18</v>
      </c>
      <c r="AD20" s="2">
        <f t="shared" si="0"/>
        <v>0.19999999999999574</v>
      </c>
      <c r="AE20" s="137">
        <f t="shared" si="1"/>
        <v>-9.4662638469285021E-3</v>
      </c>
    </row>
    <row r="21" spans="1:31" x14ac:dyDescent="0.25">
      <c r="W21" s="132">
        <v>42769</v>
      </c>
      <c r="X21" s="10">
        <v>49.62</v>
      </c>
      <c r="Y21" s="10">
        <v>49.76</v>
      </c>
      <c r="Z21" s="10">
        <v>49.55</v>
      </c>
      <c r="AA21" s="10">
        <v>49.65</v>
      </c>
      <c r="AB21" s="94">
        <v>1960800</v>
      </c>
      <c r="AC21" s="10">
        <v>49.65</v>
      </c>
      <c r="AD21" s="2">
        <f t="shared" si="0"/>
        <v>0.21000000000000085</v>
      </c>
      <c r="AE21" s="137">
        <f t="shared" si="1"/>
        <v>3.6385688295936802E-3</v>
      </c>
    </row>
    <row r="22" spans="1:31" x14ac:dyDescent="0.25">
      <c r="W22" s="132">
        <v>42768</v>
      </c>
      <c r="X22" s="10">
        <v>49.58</v>
      </c>
      <c r="Y22" s="10">
        <v>49.65</v>
      </c>
      <c r="Z22" s="10">
        <v>49.36</v>
      </c>
      <c r="AA22" s="10">
        <v>49.47</v>
      </c>
      <c r="AB22" s="94">
        <v>2317500</v>
      </c>
      <c r="AC22" s="10">
        <v>49.47</v>
      </c>
      <c r="AD22" s="2">
        <f t="shared" si="0"/>
        <v>0.28999999999999915</v>
      </c>
      <c r="AE22" s="137">
        <f t="shared" si="1"/>
        <v>-8.0791759240550487E-4</v>
      </c>
    </row>
    <row r="23" spans="1:31" x14ac:dyDescent="0.25">
      <c r="W23" s="132">
        <v>42767</v>
      </c>
      <c r="X23" s="10">
        <v>49.64</v>
      </c>
      <c r="Y23" s="10">
        <v>49.64</v>
      </c>
      <c r="Z23" s="10">
        <v>49.36</v>
      </c>
      <c r="AA23" s="10">
        <v>49.51</v>
      </c>
      <c r="AB23" s="94">
        <v>3629400</v>
      </c>
      <c r="AC23" s="10">
        <v>49.51</v>
      </c>
      <c r="AD23" s="2">
        <f t="shared" si="0"/>
        <v>0.28000000000000114</v>
      </c>
      <c r="AE23" s="137">
        <f t="shared" si="1"/>
        <v>3.0388978930306898E-3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49.37</v>
      </c>
      <c r="Y24" s="10">
        <v>49.41</v>
      </c>
      <c r="Z24" s="10">
        <v>49.11</v>
      </c>
      <c r="AA24" s="10">
        <v>49.36</v>
      </c>
      <c r="AB24" s="94">
        <v>3610400</v>
      </c>
      <c r="AC24" s="10">
        <v>49.36</v>
      </c>
      <c r="AD24" s="2">
        <f t="shared" si="0"/>
        <v>0.29999999999999716</v>
      </c>
      <c r="AE24" s="137">
        <f t="shared" si="1"/>
        <v>4.8859934853420217E-3</v>
      </c>
    </row>
    <row r="25" spans="1:31" x14ac:dyDescent="0.25">
      <c r="B25" s="192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30">
        <f t="shared" ref="H25:H37" si="4">(E25-D25)/D25</f>
        <v>0</v>
      </c>
      <c r="I25" s="40"/>
      <c r="W25" s="132">
        <v>42765</v>
      </c>
      <c r="X25" s="10">
        <v>49.04</v>
      </c>
      <c r="Y25" s="10">
        <v>49.15</v>
      </c>
      <c r="Z25" s="10">
        <v>48.89</v>
      </c>
      <c r="AA25" s="10">
        <v>49.12</v>
      </c>
      <c r="AB25" s="94">
        <v>2493800</v>
      </c>
      <c r="AC25" s="10">
        <v>49.12</v>
      </c>
      <c r="AD25" s="2">
        <f t="shared" si="0"/>
        <v>0.25999999999999801</v>
      </c>
      <c r="AE25" s="137">
        <f t="shared" si="1"/>
        <v>-8.2778114274177916E-3</v>
      </c>
    </row>
    <row r="26" spans="1:31" x14ac:dyDescent="0.25">
      <c r="B26" s="192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30">
        <f t="shared" si="4"/>
        <v>-1.1270718232044155E-2</v>
      </c>
      <c r="I26" s="40"/>
      <c r="W26" s="132">
        <v>42762</v>
      </c>
      <c r="X26" s="10">
        <v>49.54</v>
      </c>
      <c r="Y26" s="10">
        <v>49.61</v>
      </c>
      <c r="Z26" s="10">
        <v>49.46</v>
      </c>
      <c r="AA26" s="10">
        <v>49.53</v>
      </c>
      <c r="AB26" s="94">
        <v>1348400</v>
      </c>
      <c r="AC26" s="10">
        <v>49.53</v>
      </c>
      <c r="AD26" s="2">
        <f t="shared" si="0"/>
        <v>0.14999999999999858</v>
      </c>
      <c r="AE26" s="137">
        <f t="shared" si="1"/>
        <v>-2.018570851836099E-4</v>
      </c>
    </row>
    <row r="27" spans="1:31" x14ac:dyDescent="0.25">
      <c r="B27" s="192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30">
        <f t="shared" si="4"/>
        <v>8.8397790055248313E-3</v>
      </c>
      <c r="I27" s="40"/>
      <c r="W27" s="132">
        <v>42761</v>
      </c>
      <c r="X27" s="10">
        <v>49.65</v>
      </c>
      <c r="Y27" s="10">
        <v>49.7</v>
      </c>
      <c r="Z27" s="10">
        <v>49.46</v>
      </c>
      <c r="AA27" s="10">
        <v>49.54</v>
      </c>
      <c r="AB27" s="94">
        <v>2366100</v>
      </c>
      <c r="AC27" s="10">
        <v>49.54</v>
      </c>
      <c r="AD27" s="2">
        <f t="shared" si="0"/>
        <v>0.24000000000000199</v>
      </c>
      <c r="AE27" s="137">
        <f t="shared" si="1"/>
        <v>-6.4179703168872893E-3</v>
      </c>
    </row>
    <row r="28" spans="1:31" x14ac:dyDescent="0.25">
      <c r="B28" s="192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30">
        <f t="shared" si="4"/>
        <v>3.2486187845303841E-2</v>
      </c>
      <c r="I28" s="40"/>
      <c r="W28" s="132">
        <v>42760</v>
      </c>
      <c r="X28" s="10">
        <v>49.64</v>
      </c>
      <c r="Y28" s="10">
        <v>49.88</v>
      </c>
      <c r="Z28" s="10">
        <v>49.63</v>
      </c>
      <c r="AA28" s="10">
        <v>49.86</v>
      </c>
      <c r="AB28" s="94">
        <v>2325700</v>
      </c>
      <c r="AC28" s="10">
        <v>49.86</v>
      </c>
      <c r="AD28" s="2">
        <f t="shared" si="0"/>
        <v>0.25</v>
      </c>
      <c r="AE28" s="137">
        <f t="shared" si="1"/>
        <v>1.1974832555307513E-2</v>
      </c>
    </row>
    <row r="29" spans="1:31" x14ac:dyDescent="0.25">
      <c r="B29" s="192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30">
        <f t="shared" si="4"/>
        <v>0</v>
      </c>
      <c r="I29" s="40"/>
      <c r="W29" s="132">
        <v>42759</v>
      </c>
      <c r="X29" s="10">
        <v>49.14</v>
      </c>
      <c r="Y29" s="10">
        <v>49.34</v>
      </c>
      <c r="Z29" s="10">
        <v>49.1</v>
      </c>
      <c r="AA29" s="10">
        <v>49.27</v>
      </c>
      <c r="AB29" s="94">
        <v>2244300</v>
      </c>
      <c r="AC29" s="10">
        <v>49.27</v>
      </c>
      <c r="AD29" s="2">
        <f t="shared" si="0"/>
        <v>0.24000000000000199</v>
      </c>
      <c r="AE29" s="137">
        <f t="shared" si="1"/>
        <v>2.2375915378358702E-3</v>
      </c>
    </row>
    <row r="30" spans="1:31" x14ac:dyDescent="0.25">
      <c r="B30" s="192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30">
        <f t="shared" si="4"/>
        <v>2.4088397790055324E-2</v>
      </c>
      <c r="I30" s="40"/>
      <c r="W30" s="132">
        <v>42758</v>
      </c>
      <c r="X30" s="10">
        <v>49.02</v>
      </c>
      <c r="Y30" s="10">
        <v>49.2</v>
      </c>
      <c r="Z30" s="10">
        <v>48.89</v>
      </c>
      <c r="AA30" s="10">
        <v>49.16</v>
      </c>
      <c r="AB30" s="94">
        <v>4429200</v>
      </c>
      <c r="AC30" s="10">
        <v>49.16</v>
      </c>
      <c r="AD30" s="2">
        <f t="shared" si="0"/>
        <v>0.31000000000000227</v>
      </c>
      <c r="AE30" s="137">
        <f t="shared" si="1"/>
        <v>3.2653061224490187E-3</v>
      </c>
    </row>
    <row r="31" spans="1:31" x14ac:dyDescent="0.25">
      <c r="B31" s="192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30">
        <f t="shared" si="4"/>
        <v>3.9116022099447582E-2</v>
      </c>
      <c r="I31" s="40"/>
      <c r="W31" s="132">
        <v>42755</v>
      </c>
      <c r="X31" s="10">
        <v>48.84</v>
      </c>
      <c r="Y31" s="10">
        <v>49.03</v>
      </c>
      <c r="Z31" s="10">
        <v>48.83</v>
      </c>
      <c r="AA31" s="10">
        <v>49</v>
      </c>
      <c r="AB31" s="94">
        <v>3667100</v>
      </c>
      <c r="AC31" s="10">
        <v>49</v>
      </c>
      <c r="AD31" s="2">
        <f t="shared" si="0"/>
        <v>0.20000000000000284</v>
      </c>
      <c r="AE31" s="137">
        <f t="shared" si="1"/>
        <v>5.5407346603735252E-3</v>
      </c>
    </row>
    <row r="32" spans="1:31" x14ac:dyDescent="0.25">
      <c r="B32" s="192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30">
        <f t="shared" si="4"/>
        <v>4.3535911602209917E-2</v>
      </c>
      <c r="I32" s="40"/>
      <c r="W32" s="132">
        <v>42754</v>
      </c>
      <c r="X32" s="10">
        <v>48.73</v>
      </c>
      <c r="Y32" s="10">
        <v>48.82</v>
      </c>
      <c r="Z32" s="10">
        <v>48.56</v>
      </c>
      <c r="AA32" s="10">
        <v>48.73</v>
      </c>
      <c r="AB32" s="94">
        <v>3592900</v>
      </c>
      <c r="AC32" s="10">
        <v>48.73</v>
      </c>
      <c r="AD32" s="2">
        <f t="shared" si="0"/>
        <v>0.25999999999999801</v>
      </c>
      <c r="AE32" s="137">
        <f t="shared" si="1"/>
        <v>-2.0479213598197932E-3</v>
      </c>
    </row>
    <row r="33" spans="2:31" x14ac:dyDescent="0.25">
      <c r="B33" s="192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30">
        <f t="shared" si="4"/>
        <v>3.7569060773480725E-2</v>
      </c>
      <c r="I33" s="40"/>
      <c r="W33" s="132">
        <v>42753</v>
      </c>
      <c r="X33" s="10">
        <v>48.88</v>
      </c>
      <c r="Y33" s="10">
        <v>49</v>
      </c>
      <c r="Z33" s="10">
        <v>48.73</v>
      </c>
      <c r="AA33" s="10">
        <v>48.83</v>
      </c>
      <c r="AB33" s="94">
        <v>2556500</v>
      </c>
      <c r="AC33" s="10">
        <v>48.83</v>
      </c>
      <c r="AD33" s="2">
        <f t="shared" si="0"/>
        <v>0.27000000000000313</v>
      </c>
      <c r="AE33" s="137">
        <f t="shared" si="1"/>
        <v>-4.0791352233326972E-3</v>
      </c>
    </row>
    <row r="34" spans="2:31" x14ac:dyDescent="0.25">
      <c r="B34" s="192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30">
        <f t="shared" si="4"/>
        <v>4.7513812154696099E-2</v>
      </c>
      <c r="I34" s="40"/>
      <c r="W34" s="132">
        <v>42752</v>
      </c>
      <c r="X34" s="10">
        <v>49.04</v>
      </c>
      <c r="Y34" s="10">
        <v>49.12</v>
      </c>
      <c r="Z34" s="10">
        <v>48.97</v>
      </c>
      <c r="AA34" s="10">
        <v>49.03</v>
      </c>
      <c r="AB34" s="94">
        <v>4644000</v>
      </c>
      <c r="AC34" s="10">
        <v>49.03</v>
      </c>
      <c r="AD34" s="2">
        <f t="shared" si="0"/>
        <v>0.14999999999999858</v>
      </c>
      <c r="AE34" s="137">
        <f t="shared" si="1"/>
        <v>0</v>
      </c>
    </row>
    <row r="35" spans="2:31" x14ac:dyDescent="0.25">
      <c r="B35" s="192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30">
        <f t="shared" si="4"/>
        <v>4.4419889502762384E-2</v>
      </c>
      <c r="I35" s="40"/>
      <c r="W35" s="132">
        <v>42748</v>
      </c>
      <c r="X35" s="10">
        <v>49.03</v>
      </c>
      <c r="Y35" s="10">
        <v>49.09</v>
      </c>
      <c r="Z35" s="10">
        <v>48.89</v>
      </c>
      <c r="AA35" s="10">
        <v>49.03</v>
      </c>
      <c r="AB35" s="94">
        <v>2791500</v>
      </c>
      <c r="AC35" s="10">
        <v>49.03</v>
      </c>
      <c r="AD35" s="2">
        <f t="shared" si="0"/>
        <v>0.20000000000000284</v>
      </c>
      <c r="AE35" s="137">
        <f t="shared" si="1"/>
        <v>4.3015157722245956E-3</v>
      </c>
    </row>
    <row r="36" spans="2:31" x14ac:dyDescent="0.25">
      <c r="B36" s="192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30">
        <f t="shared" si="4"/>
        <v>4.6187845303867478E-2</v>
      </c>
      <c r="I36" s="40"/>
      <c r="W36" s="132">
        <v>42747</v>
      </c>
      <c r="X36" s="10">
        <v>48.88</v>
      </c>
      <c r="Y36" s="10">
        <v>48.98</v>
      </c>
      <c r="Z36" s="10">
        <v>48.73</v>
      </c>
      <c r="AA36" s="10">
        <v>48.82</v>
      </c>
      <c r="AB36" s="94">
        <v>6740600</v>
      </c>
      <c r="AC36" s="10">
        <v>48.82</v>
      </c>
      <c r="AD36" s="2">
        <f t="shared" si="0"/>
        <v>0.25</v>
      </c>
      <c r="AE36" s="137">
        <f t="shared" si="1"/>
        <v>1.0252204223908379E-3</v>
      </c>
    </row>
    <row r="37" spans="2:31" x14ac:dyDescent="0.25">
      <c r="B37" s="192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30">
        <f t="shared" si="4"/>
        <v>0.10462547382619015</v>
      </c>
      <c r="I37" s="40"/>
      <c r="W37" s="132">
        <v>42746</v>
      </c>
      <c r="X37" s="10">
        <v>48.41</v>
      </c>
      <c r="Y37" s="10">
        <v>48.81</v>
      </c>
      <c r="Z37" s="10">
        <v>48.32</v>
      </c>
      <c r="AA37" s="10">
        <v>48.77</v>
      </c>
      <c r="AB37" s="94">
        <v>4040400</v>
      </c>
      <c r="AC37" s="10">
        <v>48.77</v>
      </c>
      <c r="AD37" s="2">
        <f t="shared" si="0"/>
        <v>0.49000000000000199</v>
      </c>
      <c r="AE37" s="137">
        <f t="shared" si="1"/>
        <v>5.1525144270403445E-3</v>
      </c>
    </row>
    <row r="38" spans="2:31" x14ac:dyDescent="0.25">
      <c r="B38" s="192">
        <v>42580</v>
      </c>
      <c r="C38" s="10">
        <v>0</v>
      </c>
      <c r="D38" s="40"/>
      <c r="E38" s="40"/>
      <c r="F38" s="40">
        <v>257.89999999999998</v>
      </c>
      <c r="G38" s="40"/>
      <c r="H38" s="230"/>
      <c r="I38" s="40"/>
      <c r="W38" s="132">
        <v>42745</v>
      </c>
      <c r="X38" s="10">
        <v>48.55</v>
      </c>
      <c r="Y38" s="10">
        <v>48.71</v>
      </c>
      <c r="Z38" s="10">
        <v>48.52</v>
      </c>
      <c r="AA38" s="10">
        <v>48.52</v>
      </c>
      <c r="AB38" s="94">
        <v>2660800</v>
      </c>
      <c r="AC38" s="10">
        <v>48.52</v>
      </c>
      <c r="AD38" s="2">
        <f t="shared" si="0"/>
        <v>0.18999999999999773</v>
      </c>
      <c r="AE38" s="137">
        <f t="shared" si="1"/>
        <v>-2.0605810838647542E-4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48.41</v>
      </c>
      <c r="Y39" s="10">
        <v>48.59</v>
      </c>
      <c r="Z39" s="10">
        <v>48.32</v>
      </c>
      <c r="AA39" s="10">
        <v>48.53</v>
      </c>
      <c r="AB39" s="94">
        <v>2341400</v>
      </c>
      <c r="AC39" s="10">
        <v>48.53</v>
      </c>
      <c r="AD39" s="2">
        <f t="shared" si="0"/>
        <v>0.27000000000000313</v>
      </c>
      <c r="AE39" s="137">
        <f t="shared" si="1"/>
        <v>-3.4907597535934753E-3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42741</v>
      </c>
      <c r="X40" s="10">
        <v>48.68</v>
      </c>
      <c r="Y40" s="10">
        <v>48.82</v>
      </c>
      <c r="Z40" s="10">
        <v>48.62</v>
      </c>
      <c r="AA40" s="10">
        <v>48.7</v>
      </c>
      <c r="AB40" s="94">
        <v>2808900</v>
      </c>
      <c r="AC40" s="10">
        <v>48.7</v>
      </c>
      <c r="AD40" s="2">
        <f t="shared" si="0"/>
        <v>0.20000000000000284</v>
      </c>
      <c r="AE40" s="137">
        <f t="shared" si="1"/>
        <v>-4.903964037596964E-3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55.57200000000001</v>
      </c>
      <c r="Q41" s="2"/>
      <c r="W41" s="132">
        <v>42740</v>
      </c>
      <c r="X41" s="10">
        <v>48.58</v>
      </c>
      <c r="Y41" s="10">
        <v>49</v>
      </c>
      <c r="Z41" s="10">
        <v>48.58</v>
      </c>
      <c r="AA41" s="10">
        <v>48.94</v>
      </c>
      <c r="AB41" s="94">
        <v>5147600</v>
      </c>
      <c r="AC41" s="10">
        <v>48.94</v>
      </c>
      <c r="AD41" s="2">
        <f t="shared" si="0"/>
        <v>0.42000000000000171</v>
      </c>
      <c r="AE41" s="137">
        <f t="shared" si="1"/>
        <v>9.0721649484535316E-3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55.066800000000008</v>
      </c>
      <c r="Q42" s="2"/>
      <c r="T42" s="90" t="s">
        <v>113</v>
      </c>
      <c r="W42" s="132">
        <v>42739</v>
      </c>
      <c r="X42" s="10">
        <v>48.21</v>
      </c>
      <c r="Y42" s="10">
        <v>48.5</v>
      </c>
      <c r="Z42" s="10">
        <v>48.13</v>
      </c>
      <c r="AA42" s="10">
        <v>48.5</v>
      </c>
      <c r="AB42" s="94">
        <v>2781900</v>
      </c>
      <c r="AC42" s="10">
        <v>48.5</v>
      </c>
      <c r="AD42" s="2">
        <f t="shared" si="0"/>
        <v>0.36999999999999744</v>
      </c>
      <c r="AE42" s="137">
        <f t="shared" si="1"/>
        <v>8.3160083160083165E-3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54.561600000000006</v>
      </c>
      <c r="Q43" s="2"/>
      <c r="T43" s="127" t="s">
        <v>98</v>
      </c>
      <c r="U43" s="97">
        <v>49.98</v>
      </c>
      <c r="W43" s="132">
        <v>42738</v>
      </c>
      <c r="X43" s="10">
        <v>48.01</v>
      </c>
      <c r="Y43" s="10">
        <v>48.14</v>
      </c>
      <c r="Z43" s="10">
        <v>47.94</v>
      </c>
      <c r="AA43" s="10">
        <v>48.1</v>
      </c>
      <c r="AB43" s="94">
        <v>3816500</v>
      </c>
      <c r="AC43" s="10">
        <v>48.1</v>
      </c>
      <c r="AD43" s="2">
        <f t="shared" si="0"/>
        <v>0.20000000000000284</v>
      </c>
      <c r="AE43" s="137">
        <f t="shared" si="1"/>
        <v>3.3375052148518769E-3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54.056400000000004</v>
      </c>
      <c r="Q44" s="2"/>
      <c r="T44" s="92" t="s">
        <v>99</v>
      </c>
      <c r="U44" s="87">
        <v>50.11</v>
      </c>
      <c r="W44" s="132">
        <v>42734</v>
      </c>
      <c r="X44" s="10">
        <v>48.11</v>
      </c>
      <c r="Y44" s="10">
        <v>48.21</v>
      </c>
      <c r="Z44" s="10">
        <v>47.83</v>
      </c>
      <c r="AA44" s="10">
        <v>47.94</v>
      </c>
      <c r="AB44" s="94">
        <v>4786600</v>
      </c>
      <c r="AC44" s="10">
        <v>47.94</v>
      </c>
      <c r="AD44" s="2">
        <f t="shared" si="0"/>
        <v>0.38000000000000256</v>
      </c>
      <c r="AE44" s="137">
        <f t="shared" si="1"/>
        <v>5.4530201342282147E-3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53.551200000000009</v>
      </c>
      <c r="Q45" s="2"/>
      <c r="T45" s="92" t="s">
        <v>100</v>
      </c>
      <c r="U45" s="87" t="s">
        <v>129</v>
      </c>
      <c r="W45" s="132">
        <v>42733</v>
      </c>
      <c r="X45" s="10">
        <v>47.56</v>
      </c>
      <c r="Y45" s="10">
        <v>47.73</v>
      </c>
      <c r="Z45" s="10">
        <v>47.56</v>
      </c>
      <c r="AA45" s="10">
        <v>47.68</v>
      </c>
      <c r="AB45" s="94">
        <v>4123900</v>
      </c>
      <c r="AC45" s="10">
        <v>47.68</v>
      </c>
      <c r="AD45" s="2">
        <f t="shared" si="0"/>
        <v>0.1699999999999946</v>
      </c>
      <c r="AE45" s="137">
        <f t="shared" si="1"/>
        <v>6.9693769799366034E-3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53.046000000000006</v>
      </c>
      <c r="Q46" s="2"/>
      <c r="T46" s="92" t="s">
        <v>101</v>
      </c>
      <c r="U46" s="87" t="s">
        <v>129</v>
      </c>
      <c r="W46" s="132">
        <v>42732</v>
      </c>
      <c r="X46" s="10">
        <v>47.45</v>
      </c>
      <c r="Y46" s="10">
        <v>47.5</v>
      </c>
      <c r="Z46" s="10">
        <v>47.27</v>
      </c>
      <c r="AA46" s="10">
        <v>47.35</v>
      </c>
      <c r="AB46" s="94">
        <v>2599500</v>
      </c>
      <c r="AC46" s="10">
        <v>47.35</v>
      </c>
      <c r="AD46" s="2">
        <f t="shared" si="0"/>
        <v>0.22999999999999687</v>
      </c>
      <c r="AE46" s="137">
        <f t="shared" si="1"/>
        <v>-6.2959076600209718E-3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52.540800000000004</v>
      </c>
      <c r="Q47" s="2"/>
      <c r="T47" s="92" t="s">
        <v>338</v>
      </c>
      <c r="U47" s="87">
        <v>50.43</v>
      </c>
      <c r="W47" s="132">
        <v>42731</v>
      </c>
      <c r="X47" s="10">
        <v>47.61</v>
      </c>
      <c r="Y47" s="10">
        <v>47.7</v>
      </c>
      <c r="Z47" s="10">
        <v>47.59</v>
      </c>
      <c r="AA47" s="10">
        <v>47.65</v>
      </c>
      <c r="AB47" s="94">
        <v>2252200</v>
      </c>
      <c r="AC47" s="10">
        <v>47.65</v>
      </c>
      <c r="AD47" s="2">
        <f t="shared" si="0"/>
        <v>0.10999999999999943</v>
      </c>
      <c r="AE47" s="137">
        <f t="shared" si="1"/>
        <v>1.4712063892392546E-3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52.035600000000002</v>
      </c>
      <c r="Q48" s="2"/>
      <c r="T48" s="92" t="s">
        <v>339</v>
      </c>
      <c r="U48" s="87" t="s">
        <v>646</v>
      </c>
      <c r="W48" s="132">
        <v>42727</v>
      </c>
      <c r="X48" s="10">
        <v>47.42</v>
      </c>
      <c r="Y48" s="10">
        <v>47.58</v>
      </c>
      <c r="Z48" s="10">
        <v>47.41</v>
      </c>
      <c r="AA48" s="10">
        <v>47.58</v>
      </c>
      <c r="AB48" s="94">
        <v>2410700</v>
      </c>
      <c r="AC48" s="10">
        <v>47.58</v>
      </c>
      <c r="AD48" s="2">
        <f t="shared" si="0"/>
        <v>0.17000000000000171</v>
      </c>
      <c r="AE48" s="137">
        <f t="shared" si="1"/>
        <v>4.0092846592107989E-3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51.530400000000007</v>
      </c>
      <c r="Q49" s="2"/>
      <c r="T49" s="92" t="s">
        <v>340</v>
      </c>
      <c r="U49" s="448">
        <v>3.5700000000000003E-2</v>
      </c>
      <c r="W49" s="132">
        <v>42726</v>
      </c>
      <c r="X49" s="10">
        <v>47.5</v>
      </c>
      <c r="Y49" s="10">
        <v>47.59</v>
      </c>
      <c r="Z49" s="10">
        <v>47.35</v>
      </c>
      <c r="AA49" s="10">
        <v>47.39</v>
      </c>
      <c r="AB49" s="94">
        <v>3123900</v>
      </c>
      <c r="AC49" s="10">
        <v>47.39</v>
      </c>
      <c r="AD49" s="2">
        <f t="shared" si="0"/>
        <v>0.24000000000000199</v>
      </c>
      <c r="AE49" s="137">
        <f t="shared" si="1"/>
        <v>-1.8955349620892736E-3</v>
      </c>
    </row>
    <row r="50" spans="1:31" x14ac:dyDescent="0.25">
      <c r="O50" s="82">
        <v>1.01</v>
      </c>
      <c r="P50" s="82">
        <f t="shared" si="5"/>
        <v>51.025200000000005</v>
      </c>
      <c r="Q50" s="2"/>
      <c r="T50" s="92"/>
      <c r="U50" s="87"/>
      <c r="W50" s="132">
        <v>42725</v>
      </c>
      <c r="X50" s="10">
        <v>47.47</v>
      </c>
      <c r="Y50" s="10">
        <v>47.54</v>
      </c>
      <c r="Z50" s="10">
        <v>47.43</v>
      </c>
      <c r="AA50" s="10">
        <v>47.48</v>
      </c>
      <c r="AB50" s="94">
        <v>5485700</v>
      </c>
      <c r="AC50" s="10">
        <v>47.48</v>
      </c>
      <c r="AD50" s="2">
        <f t="shared" si="0"/>
        <v>0.10999999999999943</v>
      </c>
      <c r="AE50" s="137">
        <f t="shared" si="1"/>
        <v>2.5337837837837718E-3</v>
      </c>
    </row>
    <row r="51" spans="1:31" x14ac:dyDescent="0.25">
      <c r="O51" s="82">
        <v>1</v>
      </c>
      <c r="P51" s="82">
        <f t="shared" si="5"/>
        <v>50.52</v>
      </c>
      <c r="Q51" s="2"/>
      <c r="T51" s="92" t="s">
        <v>105</v>
      </c>
      <c r="U51" s="87" t="s">
        <v>647</v>
      </c>
      <c r="W51" s="132">
        <v>42724</v>
      </c>
      <c r="X51" s="10">
        <v>47.27</v>
      </c>
      <c r="Y51" s="10">
        <v>47.42</v>
      </c>
      <c r="Z51" s="10">
        <v>47.21</v>
      </c>
      <c r="AA51" s="10">
        <v>47.36</v>
      </c>
      <c r="AB51" s="94">
        <v>4269700</v>
      </c>
      <c r="AC51" s="10">
        <v>47.36</v>
      </c>
      <c r="AD51" s="2">
        <f t="shared" si="0"/>
        <v>0.21000000000000085</v>
      </c>
      <c r="AE51" s="137" t="e">
        <f t="shared" si="1"/>
        <v>#DIV/0!</v>
      </c>
    </row>
    <row r="52" spans="1:31" x14ac:dyDescent="0.25">
      <c r="O52" s="82">
        <v>0.99</v>
      </c>
      <c r="P52" s="82">
        <f t="shared" si="5"/>
        <v>50.014800000000001</v>
      </c>
      <c r="Q52" s="2"/>
      <c r="T52" s="92" t="s">
        <v>106</v>
      </c>
      <c r="U52" s="87" t="s">
        <v>358</v>
      </c>
      <c r="W52" s="132">
        <v>42724</v>
      </c>
      <c r="X52" s="10" t="s">
        <v>348</v>
      </c>
      <c r="Y52" s="10"/>
      <c r="Z52" s="10"/>
      <c r="AA52" s="10"/>
      <c r="AB52" s="94"/>
      <c r="AC52" s="10"/>
      <c r="AD52" s="2">
        <f t="shared" si="0"/>
        <v>0</v>
      </c>
      <c r="AE52" s="137">
        <f t="shared" si="1"/>
        <v>-1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49.509599999999999</v>
      </c>
      <c r="Q53" s="2"/>
      <c r="T53" s="92" t="s">
        <v>107</v>
      </c>
      <c r="U53" s="89">
        <v>4847809</v>
      </c>
      <c r="W53" s="132">
        <v>42723</v>
      </c>
      <c r="X53" s="10">
        <v>47.55</v>
      </c>
      <c r="Y53" s="10">
        <v>47.71</v>
      </c>
      <c r="Z53" s="10">
        <v>47.44</v>
      </c>
      <c r="AA53" s="10">
        <v>47.46</v>
      </c>
      <c r="AB53" s="94">
        <v>5669000</v>
      </c>
      <c r="AC53" s="10">
        <v>47.23</v>
      </c>
      <c r="AD53" s="2">
        <f t="shared" si="0"/>
        <v>0.27000000000000313</v>
      </c>
      <c r="AE53" s="137">
        <f t="shared" si="1"/>
        <v>-3.5864978902954148E-3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5"/>
        <v>49.004400000000004</v>
      </c>
      <c r="T54" s="92" t="s">
        <v>110</v>
      </c>
      <c r="U54" s="89">
        <v>3333700</v>
      </c>
      <c r="W54" s="132">
        <v>42720</v>
      </c>
      <c r="X54" s="10">
        <v>47.52</v>
      </c>
      <c r="Y54" s="10">
        <v>47.78</v>
      </c>
      <c r="Z54" s="10">
        <v>47.47</v>
      </c>
      <c r="AA54" s="10">
        <v>47.63</v>
      </c>
      <c r="AB54" s="94">
        <v>3755800</v>
      </c>
      <c r="AC54" s="10">
        <v>47.4</v>
      </c>
      <c r="AD54" s="2">
        <f t="shared" si="0"/>
        <v>0.31000000000000227</v>
      </c>
      <c r="AE54" s="137">
        <f t="shared" si="1"/>
        <v>5.0890585241729624E-3</v>
      </c>
    </row>
    <row r="55" spans="1:31" x14ac:dyDescent="0.25">
      <c r="A55" s="264" t="s">
        <v>230</v>
      </c>
      <c r="B55" s="265">
        <v>42545</v>
      </c>
      <c r="C55" s="260">
        <v>100</v>
      </c>
      <c r="D55" s="261">
        <v>45.25</v>
      </c>
      <c r="E55" s="261">
        <v>0</v>
      </c>
      <c r="F55" s="261">
        <f>D55*C55+E55</f>
        <v>4525</v>
      </c>
      <c r="G55" s="265">
        <v>42577</v>
      </c>
      <c r="H55" s="266">
        <v>50</v>
      </c>
      <c r="I55" s="261">
        <v>47.5</v>
      </c>
      <c r="J55" s="261">
        <v>0.05</v>
      </c>
      <c r="K55" s="261">
        <f>H55*I55-J55</f>
        <v>2374.9499999999998</v>
      </c>
      <c r="L55" s="265" t="s">
        <v>243</v>
      </c>
      <c r="M55" s="260"/>
      <c r="O55" s="82">
        <v>0.96</v>
      </c>
      <c r="P55" s="82">
        <f t="shared" si="5"/>
        <v>48.499200000000002</v>
      </c>
      <c r="T55" s="92" t="s">
        <v>341</v>
      </c>
      <c r="U55" s="87">
        <v>15</v>
      </c>
      <c r="W55" s="132">
        <v>42719</v>
      </c>
      <c r="X55" s="10">
        <v>47.35</v>
      </c>
      <c r="Y55" s="10">
        <v>47.46</v>
      </c>
      <c r="Z55" s="10">
        <v>47.26</v>
      </c>
      <c r="AA55" s="10">
        <v>47.39</v>
      </c>
      <c r="AB55" s="94">
        <v>3651200</v>
      </c>
      <c r="AC55" s="10">
        <v>47.16</v>
      </c>
      <c r="AD55" s="2">
        <f t="shared" si="0"/>
        <v>0.20000000000000284</v>
      </c>
      <c r="AE55" s="137">
        <f t="shared" si="1"/>
        <v>-6.3572790845523031E-4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>
        <v>42580</v>
      </c>
      <c r="H56" s="266">
        <v>50</v>
      </c>
      <c r="I56" s="261">
        <v>48.16</v>
      </c>
      <c r="J56" s="261">
        <v>0.3</v>
      </c>
      <c r="K56" s="261">
        <f>H56*I56-J56</f>
        <v>2407.6999999999998</v>
      </c>
      <c r="L56" s="260"/>
      <c r="M56" s="260"/>
      <c r="O56" s="82">
        <v>0.95</v>
      </c>
      <c r="P56" s="82">
        <f t="shared" si="5"/>
        <v>47.994</v>
      </c>
      <c r="T56" s="92" t="s">
        <v>342</v>
      </c>
      <c r="U56" s="87">
        <v>3.4</v>
      </c>
      <c r="W56" s="132">
        <v>42718</v>
      </c>
      <c r="X56" s="10">
        <v>48.05</v>
      </c>
      <c r="Y56" s="10">
        <v>48.23</v>
      </c>
      <c r="Z56" s="10">
        <v>47.36</v>
      </c>
      <c r="AA56" s="10">
        <v>47.42</v>
      </c>
      <c r="AB56" s="94">
        <v>4537100</v>
      </c>
      <c r="AC56" s="10">
        <v>47.19</v>
      </c>
      <c r="AD56" s="2">
        <f t="shared" si="0"/>
        <v>0.86999999999999744</v>
      </c>
      <c r="AE56" s="137">
        <f t="shared" si="1"/>
        <v>-1.5644555694618312E-2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47.488799999999998</v>
      </c>
      <c r="T57" s="92"/>
      <c r="U57" s="87"/>
      <c r="W57" s="132">
        <v>42717</v>
      </c>
      <c r="X57" s="10">
        <v>47.99</v>
      </c>
      <c r="Y57" s="10">
        <v>48.33</v>
      </c>
      <c r="Z57" s="10">
        <v>47.99</v>
      </c>
      <c r="AA57" s="10">
        <v>48.17</v>
      </c>
      <c r="AB57" s="94">
        <v>3382000</v>
      </c>
      <c r="AC57" s="10">
        <v>47.94</v>
      </c>
      <c r="AD57" s="2">
        <f t="shared" si="0"/>
        <v>0.33999999999999631</v>
      </c>
      <c r="AE57" s="137">
        <f t="shared" si="1"/>
        <v>1.0752688172043001E-2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46.983600000000003</v>
      </c>
      <c r="T58" s="92"/>
      <c r="U58" s="87"/>
      <c r="W58" s="132">
        <v>42716</v>
      </c>
      <c r="X58" s="10">
        <v>47.57</v>
      </c>
      <c r="Y58" s="10">
        <v>47.8</v>
      </c>
      <c r="Z58" s="10">
        <v>47.52</v>
      </c>
      <c r="AA58" s="10">
        <v>47.66</v>
      </c>
      <c r="AB58" s="94">
        <v>2894400</v>
      </c>
      <c r="AC58" s="10">
        <v>47.43</v>
      </c>
      <c r="AD58" s="2">
        <f t="shared" si="0"/>
        <v>0.27999999999999403</v>
      </c>
      <c r="AE58" s="137">
        <f t="shared" si="1"/>
        <v>-1.4736842105262937E-3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46.478400000000008</v>
      </c>
      <c r="W59" s="132">
        <v>42713</v>
      </c>
      <c r="X59" s="10">
        <v>47.53</v>
      </c>
      <c r="Y59" s="10">
        <v>47.74</v>
      </c>
      <c r="Z59" s="10">
        <v>47.44</v>
      </c>
      <c r="AA59" s="10">
        <v>47.73</v>
      </c>
      <c r="AB59" s="94">
        <v>3177200</v>
      </c>
      <c r="AC59" s="10">
        <v>47.5</v>
      </c>
      <c r="AD59" s="2">
        <f t="shared" si="0"/>
        <v>0.30000000000000426</v>
      </c>
      <c r="AE59" s="137">
        <f t="shared" si="1"/>
        <v>5.5038103302285091E-3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45.973200000000006</v>
      </c>
      <c r="W60" s="132">
        <v>42712</v>
      </c>
      <c r="X60" s="10">
        <v>47.48</v>
      </c>
      <c r="Y60" s="10">
        <v>47.55</v>
      </c>
      <c r="Z60" s="10">
        <v>47.3</v>
      </c>
      <c r="AA60" s="10">
        <v>47.47</v>
      </c>
      <c r="AB60" s="94">
        <v>5131300</v>
      </c>
      <c r="AC60" s="10">
        <v>47.24</v>
      </c>
      <c r="AD60" s="2">
        <f t="shared" si="0"/>
        <v>0.25</v>
      </c>
      <c r="AE60" s="137">
        <f t="shared" si="1"/>
        <v>-5.8922558922559487E-3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45.468000000000004</v>
      </c>
      <c r="W61" s="132">
        <v>42711</v>
      </c>
      <c r="X61" s="10">
        <v>47.19</v>
      </c>
      <c r="Y61" s="10">
        <v>47.86</v>
      </c>
      <c r="Z61" s="10">
        <v>47.19</v>
      </c>
      <c r="AA61" s="10">
        <v>47.75</v>
      </c>
      <c r="AB61" s="94">
        <v>3526900</v>
      </c>
      <c r="AC61" s="10">
        <v>47.52</v>
      </c>
      <c r="AD61" s="2">
        <f t="shared" si="0"/>
        <v>0.67000000000000171</v>
      </c>
      <c r="AE61" s="137">
        <f t="shared" si="1"/>
        <v>1.343570057581589E-2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42710</v>
      </c>
      <c r="X62" s="10">
        <v>46.7</v>
      </c>
      <c r="Y62" s="10">
        <v>47.13</v>
      </c>
      <c r="Z62" s="10">
        <v>46.7</v>
      </c>
      <c r="AA62" s="10">
        <v>47.11</v>
      </c>
      <c r="AB62" s="94">
        <v>4126500</v>
      </c>
      <c r="AC62" s="10">
        <v>46.89</v>
      </c>
      <c r="AD62" s="2">
        <f t="shared" si="0"/>
        <v>0.42999999999999972</v>
      </c>
      <c r="AE62" s="137">
        <f t="shared" si="1"/>
        <v>9.2552733534223552E-3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42709</v>
      </c>
      <c r="X63" s="10">
        <v>46.42</v>
      </c>
      <c r="Y63" s="10">
        <v>46.73</v>
      </c>
      <c r="Z63" s="10">
        <v>46.35</v>
      </c>
      <c r="AA63" s="10">
        <v>46.68</v>
      </c>
      <c r="AB63" s="94">
        <v>4250100</v>
      </c>
      <c r="AC63" s="10">
        <v>46.46</v>
      </c>
      <c r="AD63" s="2">
        <f t="shared" si="0"/>
        <v>0.37999999999999545</v>
      </c>
      <c r="AE63" s="137">
        <f t="shared" si="1"/>
        <v>1.5075376884422065E-2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42706</v>
      </c>
      <c r="X64" s="10">
        <v>45.67</v>
      </c>
      <c r="Y64" s="10">
        <v>46.1</v>
      </c>
      <c r="Z64" s="10">
        <v>45.65</v>
      </c>
      <c r="AA64" s="10">
        <v>45.99</v>
      </c>
      <c r="AB64" s="94">
        <v>5255800</v>
      </c>
      <c r="AC64" s="10">
        <v>45.77</v>
      </c>
      <c r="AD64" s="2">
        <f t="shared" si="0"/>
        <v>0.45000000000000284</v>
      </c>
      <c r="AE64" s="137">
        <f t="shared" si="1"/>
        <v>3.2880315651031555E-3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42705</v>
      </c>
      <c r="X65" s="10">
        <v>45.85</v>
      </c>
      <c r="Y65" s="10">
        <v>45.96</v>
      </c>
      <c r="Z65" s="10">
        <v>45.72</v>
      </c>
      <c r="AA65" s="10">
        <v>45.84</v>
      </c>
      <c r="AB65" s="94">
        <v>2651500</v>
      </c>
      <c r="AC65" s="10">
        <v>45.62</v>
      </c>
      <c r="AD65" s="2">
        <f t="shared" si="0"/>
        <v>0.24000000000000199</v>
      </c>
      <c r="AE65" s="137">
        <f t="shared" si="1"/>
        <v>-1.5320639089516641E-3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42704</v>
      </c>
      <c r="X66" s="10">
        <v>46.03</v>
      </c>
      <c r="Y66" s="10">
        <v>46.08</v>
      </c>
      <c r="Z66" s="10">
        <v>45.82</v>
      </c>
      <c r="AA66" s="10">
        <v>45.91</v>
      </c>
      <c r="AB66" s="94">
        <v>4140400</v>
      </c>
      <c r="AC66" s="10">
        <v>45.69</v>
      </c>
      <c r="AD66" s="2">
        <f t="shared" si="0"/>
        <v>0.25999999999999801</v>
      </c>
      <c r="AE66" s="137">
        <f t="shared" si="1"/>
        <v>-6.5616797900269752E-4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42703</v>
      </c>
      <c r="X67" s="10">
        <v>45.58</v>
      </c>
      <c r="Y67" s="10">
        <v>46</v>
      </c>
      <c r="Z67" s="10">
        <v>45.55</v>
      </c>
      <c r="AA67" s="10">
        <v>45.94</v>
      </c>
      <c r="AB67" s="94">
        <v>2878900</v>
      </c>
      <c r="AC67" s="10">
        <v>45.72</v>
      </c>
      <c r="AD67" s="2">
        <f>Y67-Z67</f>
        <v>0.45000000000000284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42702</v>
      </c>
      <c r="X68" s="10">
        <v>45.75</v>
      </c>
      <c r="Y68" s="10">
        <v>45.76</v>
      </c>
      <c r="Z68" s="10">
        <v>45.52</v>
      </c>
      <c r="AA68" s="10">
        <v>45.54</v>
      </c>
      <c r="AB68" s="94">
        <v>2503900</v>
      </c>
      <c r="AC68" s="10">
        <v>45.32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25" priority="9">
      <formula>F39&gt;0</formula>
    </cfRule>
    <cfRule type="expression" dxfId="624" priority="10">
      <formula>F39&lt;0</formula>
    </cfRule>
  </conditionalFormatting>
  <conditionalFormatting sqref="F25:F38">
    <cfRule type="expression" dxfId="623" priority="7">
      <formula>F25&gt;0</formula>
    </cfRule>
    <cfRule type="expression" dxfId="622" priority="8">
      <formula>F25&lt;0</formula>
    </cfRule>
  </conditionalFormatting>
  <conditionalFormatting sqref="H25:H38">
    <cfRule type="expression" dxfId="621" priority="5">
      <formula>H25&gt;0</formula>
    </cfRule>
    <cfRule type="expression" dxfId="620" priority="6">
      <formula>H25&lt;0</formula>
    </cfRule>
  </conditionalFormatting>
  <conditionalFormatting sqref="Q7">
    <cfRule type="expression" dxfId="619" priority="3">
      <formula>Q7&gt;0</formula>
    </cfRule>
    <cfRule type="expression" dxfId="618" priority="4">
      <formula>Q7&lt;0</formula>
    </cfRule>
  </conditionalFormatting>
  <conditionalFormatting sqref="Q8">
    <cfRule type="expression" dxfId="617" priority="1">
      <formula>Q8&gt;0</formula>
    </cfRule>
    <cfRule type="expression" dxfId="61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8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8.5703125" customWidth="1"/>
    <col min="21" max="21" width="35.425781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0">
        <v>42738</v>
      </c>
      <c r="C2" s="7">
        <v>150</v>
      </c>
      <c r="D2" s="7">
        <v>22.35</v>
      </c>
      <c r="E2" s="44">
        <v>0</v>
      </c>
      <c r="F2" s="44">
        <f>C2*D2+E2</f>
        <v>3352.5</v>
      </c>
      <c r="G2" s="500">
        <v>42795</v>
      </c>
      <c r="H2" s="81">
        <v>350</v>
      </c>
      <c r="I2" s="44">
        <v>24.16</v>
      </c>
      <c r="J2" s="44">
        <v>0.18</v>
      </c>
      <c r="K2" s="44">
        <f>I2*H2-J2</f>
        <v>8455.82</v>
      </c>
      <c r="L2" s="4"/>
      <c r="M2" s="4"/>
      <c r="N2" s="4"/>
      <c r="O2" s="11" t="s">
        <v>57</v>
      </c>
      <c r="Q2">
        <f>C22-H22</f>
        <v>1000</v>
      </c>
      <c r="T2" s="457">
        <v>42568</v>
      </c>
      <c r="U2" s="126" t="s">
        <v>250</v>
      </c>
      <c r="V2" s="16"/>
      <c r="W2" s="140">
        <v>42797</v>
      </c>
      <c r="X2" s="141">
        <v>25.2</v>
      </c>
      <c r="Y2" s="141">
        <v>25.68</v>
      </c>
      <c r="Z2" s="10">
        <v>24.98</v>
      </c>
      <c r="AA2" s="10">
        <v>25.57</v>
      </c>
      <c r="AB2" s="94">
        <v>37862400</v>
      </c>
      <c r="AC2" s="10">
        <v>25.57</v>
      </c>
      <c r="AD2">
        <f>Y2-Z2</f>
        <v>0.69999999999999929</v>
      </c>
      <c r="AE2" s="137">
        <f>AC2/AC3-1</f>
        <v>3.5222672064777472E-2</v>
      </c>
    </row>
    <row r="3" spans="1:42" x14ac:dyDescent="0.25">
      <c r="A3" s="23" t="s">
        <v>71</v>
      </c>
      <c r="B3" s="500">
        <v>42759</v>
      </c>
      <c r="C3" s="7">
        <v>200</v>
      </c>
      <c r="D3" s="44">
        <v>22.85</v>
      </c>
      <c r="E3" s="44">
        <v>0</v>
      </c>
      <c r="F3" s="44">
        <f t="shared" ref="F3:F10" si="0">C3*D3+E3</f>
        <v>4570</v>
      </c>
      <c r="G3" s="500">
        <v>42796</v>
      </c>
      <c r="H3" s="81">
        <v>600</v>
      </c>
      <c r="I3" s="44">
        <v>25.24</v>
      </c>
      <c r="J3" s="44">
        <v>0.33</v>
      </c>
      <c r="K3" s="44">
        <f>I3*H3-J3</f>
        <v>15143.669999999998</v>
      </c>
      <c r="L3" s="4"/>
      <c r="M3" s="4"/>
      <c r="N3" s="4"/>
      <c r="O3" s="11" t="s">
        <v>58</v>
      </c>
      <c r="Q3" s="507">
        <f>(F22-K22)/Q2</f>
        <v>22.371360000000003</v>
      </c>
      <c r="T3" s="1">
        <v>42621</v>
      </c>
      <c r="U3" s="34" t="s">
        <v>268</v>
      </c>
      <c r="W3" s="132">
        <v>42796</v>
      </c>
      <c r="X3" s="10">
        <v>24.88</v>
      </c>
      <c r="Y3" s="10">
        <v>25.25</v>
      </c>
      <c r="Z3" s="10">
        <v>24.38</v>
      </c>
      <c r="AA3" s="10">
        <v>24.7</v>
      </c>
      <c r="AB3" s="94">
        <v>45791600</v>
      </c>
      <c r="AC3" s="10">
        <v>24.7</v>
      </c>
      <c r="AD3">
        <f t="shared" ref="AD3:AD66" si="1">Y3-Z3</f>
        <v>0.87000000000000099</v>
      </c>
      <c r="AE3" s="137">
        <f t="shared" ref="AE3:AE66" si="2">AC3/AC4-1</f>
        <v>6.109979633401208E-3</v>
      </c>
      <c r="AL3" s="233"/>
      <c r="AO3" s="233"/>
    </row>
    <row r="4" spans="1:42" x14ac:dyDescent="0.25">
      <c r="B4" s="500">
        <v>42760</v>
      </c>
      <c r="C4" s="7">
        <v>600</v>
      </c>
      <c r="D4" s="44">
        <v>23.38</v>
      </c>
      <c r="E4" s="44">
        <v>0</v>
      </c>
      <c r="F4" s="44">
        <f t="shared" si="0"/>
        <v>14028</v>
      </c>
      <c r="G4" s="500">
        <v>42797</v>
      </c>
      <c r="H4" s="81">
        <v>200</v>
      </c>
      <c r="I4" s="44">
        <v>25.38</v>
      </c>
      <c r="J4" s="44">
        <v>0.11</v>
      </c>
      <c r="K4" s="44">
        <f>I4*H4-J4</f>
        <v>5075.8900000000003</v>
      </c>
      <c r="L4" s="4"/>
      <c r="M4" s="4"/>
      <c r="N4" s="4"/>
      <c r="O4" s="11" t="s">
        <v>66</v>
      </c>
      <c r="Q4" s="200">
        <v>25.18</v>
      </c>
      <c r="R4" s="499">
        <v>1.1999999999999999E-3</v>
      </c>
      <c r="T4" s="1">
        <v>42627</v>
      </c>
      <c r="U4" s="34" t="s">
        <v>268</v>
      </c>
      <c r="W4" s="132">
        <v>42795</v>
      </c>
      <c r="X4" s="10">
        <v>24.16</v>
      </c>
      <c r="Y4" s="10">
        <v>24.58</v>
      </c>
      <c r="Z4" s="10">
        <v>24.07</v>
      </c>
      <c r="AA4" s="10">
        <v>24.55</v>
      </c>
      <c r="AB4" s="94">
        <v>27875000</v>
      </c>
      <c r="AC4" s="10">
        <v>24.55</v>
      </c>
      <c r="AD4">
        <f t="shared" si="1"/>
        <v>0.50999999999999801</v>
      </c>
      <c r="AE4" s="137">
        <f t="shared" si="2"/>
        <v>4.7354948805460761E-2</v>
      </c>
      <c r="AL4" s="233"/>
      <c r="AO4" s="233"/>
    </row>
    <row r="5" spans="1:42" x14ac:dyDescent="0.25">
      <c r="B5" s="500">
        <v>42765</v>
      </c>
      <c r="C5" s="7">
        <v>200</v>
      </c>
      <c r="D5" s="44">
        <v>23.78</v>
      </c>
      <c r="E5" s="44">
        <v>-0.5</v>
      </c>
      <c r="F5" s="44">
        <f t="shared" si="0"/>
        <v>4755.5</v>
      </c>
      <c r="G5" s="454">
        <v>42804</v>
      </c>
      <c r="H5" s="81">
        <v>100</v>
      </c>
      <c r="I5" s="44">
        <v>25.58</v>
      </c>
      <c r="J5" s="44">
        <v>0.06</v>
      </c>
      <c r="K5" s="44">
        <f>I5*H5-J5</f>
        <v>2557.94</v>
      </c>
      <c r="L5" s="4"/>
      <c r="M5" s="4"/>
      <c r="N5" s="4"/>
      <c r="O5" s="11" t="s">
        <v>67</v>
      </c>
      <c r="Q5" s="3">
        <f>Q4*Q2</f>
        <v>25180</v>
      </c>
      <c r="T5" t="s">
        <v>353</v>
      </c>
      <c r="W5" s="132">
        <v>42794</v>
      </c>
      <c r="X5" s="10">
        <v>23.79</v>
      </c>
      <c r="Y5" s="10">
        <v>23.95</v>
      </c>
      <c r="Z5" s="10">
        <v>23.32</v>
      </c>
      <c r="AA5" s="10">
        <v>23.44</v>
      </c>
      <c r="AB5" s="94">
        <v>21184600</v>
      </c>
      <c r="AC5" s="10">
        <v>23.44</v>
      </c>
      <c r="AD5">
        <f t="shared" si="1"/>
        <v>0.62999999999999901</v>
      </c>
      <c r="AE5" s="137">
        <f t="shared" si="2"/>
        <v>-1.3468013468013518E-2</v>
      </c>
      <c r="AL5" s="233"/>
      <c r="AO5" s="233"/>
    </row>
    <row r="6" spans="1:42" x14ac:dyDescent="0.25">
      <c r="B6" s="500">
        <v>42769</v>
      </c>
      <c r="C6" s="7">
        <v>100</v>
      </c>
      <c r="D6" s="44">
        <v>24.7</v>
      </c>
      <c r="E6" s="44">
        <v>-0.32</v>
      </c>
      <c r="F6" s="44">
        <f t="shared" si="0"/>
        <v>2469.6799999999998</v>
      </c>
      <c r="G6" s="73"/>
      <c r="H6" s="4"/>
      <c r="I6" s="3"/>
      <c r="J6" s="3"/>
      <c r="K6" s="3"/>
      <c r="L6" s="4"/>
      <c r="M6" s="4"/>
      <c r="N6" s="4"/>
      <c r="O6" s="11" t="s">
        <v>64</v>
      </c>
      <c r="Q6" s="2">
        <f>Q3*Q2</f>
        <v>22371.360000000004</v>
      </c>
      <c r="T6" s="23" t="s">
        <v>542</v>
      </c>
      <c r="W6" s="132">
        <v>42793</v>
      </c>
      <c r="X6" s="10">
        <v>23.36</v>
      </c>
      <c r="Y6" s="10">
        <v>23.77</v>
      </c>
      <c r="Z6" s="10">
        <v>23.15</v>
      </c>
      <c r="AA6" s="10">
        <v>23.76</v>
      </c>
      <c r="AB6" s="94">
        <v>17982900</v>
      </c>
      <c r="AC6" s="10">
        <v>23.76</v>
      </c>
      <c r="AD6">
        <f t="shared" si="1"/>
        <v>0.62000000000000099</v>
      </c>
      <c r="AE6" s="137">
        <f t="shared" si="2"/>
        <v>2.2375215146299698E-2</v>
      </c>
      <c r="AL6" s="233"/>
      <c r="AO6" s="233"/>
    </row>
    <row r="7" spans="1:42" x14ac:dyDescent="0.25">
      <c r="B7" s="502">
        <v>42776</v>
      </c>
      <c r="C7" s="4">
        <v>200</v>
      </c>
      <c r="D7" s="3">
        <v>23.95</v>
      </c>
      <c r="E7" s="3">
        <v>0</v>
      </c>
      <c r="F7" s="3">
        <f t="shared" si="0"/>
        <v>4790</v>
      </c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15359.036999999993</v>
      </c>
      <c r="R7" s="30">
        <v>42807</v>
      </c>
      <c r="W7" s="132">
        <v>42790</v>
      </c>
      <c r="X7" s="10">
        <v>22.96</v>
      </c>
      <c r="Y7" s="10">
        <v>23.26</v>
      </c>
      <c r="Z7" s="10">
        <v>22.64</v>
      </c>
      <c r="AA7" s="10">
        <v>23.24</v>
      </c>
      <c r="AB7" s="94">
        <v>21972700</v>
      </c>
      <c r="AC7" s="10">
        <v>23.24</v>
      </c>
      <c r="AD7">
        <f t="shared" si="1"/>
        <v>0.62000000000000099</v>
      </c>
      <c r="AE7" s="137">
        <f t="shared" si="2"/>
        <v>-1.0221465076661107E-2</v>
      </c>
    </row>
    <row r="8" spans="1:42" x14ac:dyDescent="0.25">
      <c r="B8" s="502">
        <v>42780</v>
      </c>
      <c r="C8" s="4">
        <v>100</v>
      </c>
      <c r="D8" s="3">
        <v>22.9</v>
      </c>
      <c r="E8" s="3">
        <v>0</v>
      </c>
      <c r="F8" s="3">
        <f t="shared" si="0"/>
        <v>2290</v>
      </c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2808.6399999999958</v>
      </c>
      <c r="W8" s="132">
        <v>42789</v>
      </c>
      <c r="X8" s="10">
        <v>23.92</v>
      </c>
      <c r="Y8" s="10">
        <v>23.97</v>
      </c>
      <c r="Z8" s="10">
        <v>23.23</v>
      </c>
      <c r="AA8" s="10">
        <v>23.48</v>
      </c>
      <c r="AB8" s="94">
        <v>20112300</v>
      </c>
      <c r="AC8" s="10">
        <v>23.48</v>
      </c>
      <c r="AD8">
        <f t="shared" si="1"/>
        <v>0.73999999999999844</v>
      </c>
      <c r="AE8" s="137">
        <f t="shared" si="2"/>
        <v>-1.1368421052631583E-2</v>
      </c>
      <c r="AL8" s="233"/>
      <c r="AO8" s="233"/>
      <c r="AP8" s="233"/>
    </row>
    <row r="9" spans="1:42" x14ac:dyDescent="0.25">
      <c r="B9" s="498">
        <v>42796</v>
      </c>
      <c r="C9" s="4">
        <v>600</v>
      </c>
      <c r="D9" s="3">
        <v>24.74</v>
      </c>
      <c r="E9" s="3">
        <v>0</v>
      </c>
      <c r="F9" s="3">
        <f t="shared" si="0"/>
        <v>14843.999999999998</v>
      </c>
      <c r="G9" s="163"/>
      <c r="H9" s="4"/>
      <c r="I9" s="3"/>
      <c r="J9" s="3"/>
      <c r="K9" s="3"/>
      <c r="L9" s="4"/>
      <c r="M9" s="4"/>
      <c r="N9" s="4"/>
      <c r="O9" s="11" t="s">
        <v>213</v>
      </c>
      <c r="Q9" s="381">
        <f>IF(Q2=0, 0, Q8/Q6)</f>
        <v>0.12554623411361648</v>
      </c>
      <c r="W9" s="132">
        <v>42788</v>
      </c>
      <c r="X9" s="10">
        <v>23.86</v>
      </c>
      <c r="Y9" s="10">
        <v>24.06</v>
      </c>
      <c r="Z9" s="10">
        <v>23.65</v>
      </c>
      <c r="AA9" s="10">
        <v>23.75</v>
      </c>
      <c r="AB9" s="94">
        <v>15980600</v>
      </c>
      <c r="AC9" s="10">
        <v>23.75</v>
      </c>
      <c r="AD9">
        <f t="shared" si="1"/>
        <v>0.41000000000000014</v>
      </c>
      <c r="AE9" s="137">
        <f t="shared" si="2"/>
        <v>-8.413967185527671E-4</v>
      </c>
    </row>
    <row r="10" spans="1:42" x14ac:dyDescent="0.25">
      <c r="B10" s="498">
        <v>42803</v>
      </c>
      <c r="C10" s="4">
        <v>100</v>
      </c>
      <c r="D10" s="3">
        <v>25.05</v>
      </c>
      <c r="E10" s="3">
        <v>0</v>
      </c>
      <c r="F10" s="3">
        <f t="shared" si="0"/>
        <v>2505</v>
      </c>
      <c r="G10" s="163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M322</f>
        <v>12550.396999999997</v>
      </c>
      <c r="T10" s="11"/>
      <c r="W10" s="132">
        <v>42787</v>
      </c>
      <c r="X10" s="10">
        <v>23.62</v>
      </c>
      <c r="Y10" s="10">
        <v>23.98</v>
      </c>
      <c r="Z10" s="10">
        <v>23.58</v>
      </c>
      <c r="AA10" s="10">
        <v>23.77</v>
      </c>
      <c r="AB10" s="94">
        <v>20084900</v>
      </c>
      <c r="AC10" s="10">
        <v>23.77</v>
      </c>
      <c r="AD10">
        <f t="shared" si="1"/>
        <v>0.40000000000000213</v>
      </c>
      <c r="AE10" s="137">
        <f t="shared" si="2"/>
        <v>1.7987152034261156E-2</v>
      </c>
      <c r="AL10" s="233"/>
      <c r="AO10" s="233"/>
    </row>
    <row r="11" spans="1:42" x14ac:dyDescent="0.25">
      <c r="B11" s="501"/>
      <c r="C11" s="4"/>
      <c r="D11" s="3"/>
      <c r="E11" s="3"/>
      <c r="F11" s="3"/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7">
        <f>IF(U58="N/A (N/A)", 0, VALUE(TRIM(CLEAN(MID(U58, FIND("(", U58)+1, 5)))))</f>
        <v>0</v>
      </c>
      <c r="T11" s="1"/>
      <c r="W11" s="132">
        <v>42783</v>
      </c>
      <c r="X11" s="10">
        <v>23.01</v>
      </c>
      <c r="Y11" s="10">
        <v>23.38</v>
      </c>
      <c r="Z11" s="10">
        <v>23.01</v>
      </c>
      <c r="AA11" s="10">
        <v>23.35</v>
      </c>
      <c r="AB11" s="94">
        <v>22080500</v>
      </c>
      <c r="AC11" s="10">
        <v>23.35</v>
      </c>
      <c r="AD11">
        <f t="shared" si="1"/>
        <v>0.36999999999999744</v>
      </c>
      <c r="AE11" s="137">
        <f t="shared" si="2"/>
        <v>1.6100957354221013E-2</v>
      </c>
    </row>
    <row r="12" spans="1:42" x14ac:dyDescent="0.25">
      <c r="A12" s="2"/>
      <c r="B12" s="501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42782</v>
      </c>
      <c r="X12" s="10">
        <v>23.04</v>
      </c>
      <c r="Y12" s="10">
        <v>23.34</v>
      </c>
      <c r="Z12" s="10">
        <v>22.85</v>
      </c>
      <c r="AA12" s="10">
        <v>22.98</v>
      </c>
      <c r="AB12" s="94">
        <v>23675700</v>
      </c>
      <c r="AC12" s="10">
        <v>22.98</v>
      </c>
      <c r="AD12">
        <f t="shared" si="1"/>
        <v>0.48999999999999844</v>
      </c>
      <c r="AE12" s="137">
        <f t="shared" si="2"/>
        <v>-1.7376194613378804E-3</v>
      </c>
      <c r="AL12" s="233"/>
      <c r="AO12" s="233"/>
    </row>
    <row r="13" spans="1:42" x14ac:dyDescent="0.25">
      <c r="B13" s="501"/>
      <c r="C13" s="4"/>
      <c r="D13" s="3"/>
      <c r="E13" s="3"/>
      <c r="F13" s="3"/>
      <c r="G13" s="708"/>
      <c r="H13" s="4"/>
      <c r="I13" s="3"/>
      <c r="J13" s="3"/>
      <c r="K13" s="3"/>
      <c r="L13" s="4"/>
      <c r="M13" s="4"/>
      <c r="N13" s="4"/>
      <c r="T13" s="1"/>
      <c r="W13" s="132">
        <v>42781</v>
      </c>
      <c r="X13" s="10">
        <v>23.07</v>
      </c>
      <c r="Y13" s="10">
        <v>23.26</v>
      </c>
      <c r="Z13" s="10">
        <v>22.79</v>
      </c>
      <c r="AA13" s="10">
        <v>23.02</v>
      </c>
      <c r="AB13" s="94">
        <v>27786300</v>
      </c>
      <c r="AC13" s="10">
        <v>23.02</v>
      </c>
      <c r="AD13">
        <f t="shared" si="1"/>
        <v>0.47000000000000242</v>
      </c>
      <c r="AE13" s="137">
        <f t="shared" si="2"/>
        <v>-4.325259515570945E-3</v>
      </c>
    </row>
    <row r="14" spans="1:42" x14ac:dyDescent="0.25">
      <c r="B14" s="501"/>
      <c r="C14" s="4"/>
      <c r="D14" s="3"/>
      <c r="E14" s="3"/>
      <c r="F14" s="3"/>
      <c r="G14" s="708"/>
      <c r="H14" s="4"/>
      <c r="I14" s="3"/>
      <c r="J14" s="3"/>
      <c r="K14" s="3"/>
      <c r="L14" s="4"/>
      <c r="M14" s="4"/>
      <c r="N14" s="4"/>
      <c r="W14" s="132">
        <v>42780</v>
      </c>
      <c r="X14" s="10">
        <v>23.36</v>
      </c>
      <c r="Y14" s="10">
        <v>23.37</v>
      </c>
      <c r="Z14" s="10">
        <v>22.68</v>
      </c>
      <c r="AA14" s="10">
        <v>23.12</v>
      </c>
      <c r="AB14" s="94">
        <v>56864800</v>
      </c>
      <c r="AC14" s="10">
        <v>23.12</v>
      </c>
      <c r="AD14">
        <f t="shared" si="1"/>
        <v>0.69000000000000128</v>
      </c>
      <c r="AE14" s="137">
        <f t="shared" si="2"/>
        <v>-3.2635983263598178E-2</v>
      </c>
      <c r="AL14" s="233"/>
      <c r="AO14" s="233"/>
      <c r="AP14" s="233"/>
    </row>
    <row r="15" spans="1:42" x14ac:dyDescent="0.25">
      <c r="B15" s="501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42779</v>
      </c>
      <c r="X15" s="10">
        <v>24.07</v>
      </c>
      <c r="Y15" s="10">
        <v>24.2</v>
      </c>
      <c r="Z15" s="10">
        <v>23.82</v>
      </c>
      <c r="AA15" s="10">
        <v>23.9</v>
      </c>
      <c r="AB15" s="94">
        <v>16862600</v>
      </c>
      <c r="AC15" s="10">
        <v>23.9</v>
      </c>
      <c r="AD15">
        <f t="shared" si="1"/>
        <v>0.37999999999999901</v>
      </c>
      <c r="AE15" s="137">
        <f t="shared" si="2"/>
        <v>-6.2370062370062929E-3</v>
      </c>
    </row>
    <row r="16" spans="1:42" x14ac:dyDescent="0.25">
      <c r="B16" s="501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42776</v>
      </c>
      <c r="X16" s="10">
        <v>24.71</v>
      </c>
      <c r="Y16" s="10">
        <v>24.76</v>
      </c>
      <c r="Z16" s="10">
        <v>23.9</v>
      </c>
      <c r="AA16" s="10">
        <v>24.05</v>
      </c>
      <c r="AB16" s="94">
        <v>28545400</v>
      </c>
      <c r="AC16" s="10">
        <v>24.05</v>
      </c>
      <c r="AD16">
        <f t="shared" si="1"/>
        <v>0.86000000000000298</v>
      </c>
      <c r="AE16" s="137">
        <f t="shared" si="2"/>
        <v>-1.6359918200408941E-2</v>
      </c>
    </row>
    <row r="17" spans="1:41" x14ac:dyDescent="0.25">
      <c r="B17" s="501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42775</v>
      </c>
      <c r="X17" s="10">
        <v>24.75</v>
      </c>
      <c r="Y17" s="10">
        <v>24.89</v>
      </c>
      <c r="Z17" s="10">
        <v>24.42</v>
      </c>
      <c r="AA17" s="10">
        <v>24.45</v>
      </c>
      <c r="AB17" s="94">
        <v>27826300</v>
      </c>
      <c r="AC17" s="10">
        <v>24.45</v>
      </c>
      <c r="AD17">
        <f t="shared" si="1"/>
        <v>0.46999999999999886</v>
      </c>
      <c r="AE17" s="137">
        <f t="shared" si="2"/>
        <v>9.913258983890838E-3</v>
      </c>
    </row>
    <row r="18" spans="1:41" x14ac:dyDescent="0.25">
      <c r="B18" s="501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42774</v>
      </c>
      <c r="X18" s="10">
        <v>24.25</v>
      </c>
      <c r="Y18" s="10">
        <v>24.38</v>
      </c>
      <c r="Z18" s="10">
        <v>23.91</v>
      </c>
      <c r="AA18" s="10">
        <v>24.21</v>
      </c>
      <c r="AB18" s="94">
        <v>21382400</v>
      </c>
      <c r="AC18" s="10">
        <v>24.21</v>
      </c>
      <c r="AD18">
        <f t="shared" si="1"/>
        <v>0.46999999999999886</v>
      </c>
      <c r="AE18" s="137">
        <f t="shared" si="2"/>
        <v>-1.585365853658538E-2</v>
      </c>
      <c r="AL18" s="233"/>
      <c r="AO18" s="233"/>
    </row>
    <row r="19" spans="1:41" x14ac:dyDescent="0.25">
      <c r="B19" s="501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42773</v>
      </c>
      <c r="X19" s="10">
        <v>24.59</v>
      </c>
      <c r="Y19" s="10">
        <v>24.69</v>
      </c>
      <c r="Z19" s="10">
        <v>24.21</v>
      </c>
      <c r="AA19" s="10">
        <v>24.6</v>
      </c>
      <c r="AB19" s="94">
        <v>19823200</v>
      </c>
      <c r="AC19" s="10">
        <v>24.6</v>
      </c>
      <c r="AD19">
        <f t="shared" si="1"/>
        <v>0.48000000000000043</v>
      </c>
      <c r="AE19" s="137">
        <f t="shared" si="2"/>
        <v>1.0682004930156141E-2</v>
      </c>
    </row>
    <row r="20" spans="1:41" x14ac:dyDescent="0.25">
      <c r="B20" s="30"/>
      <c r="N20" s="4"/>
      <c r="O20" s="2"/>
      <c r="P20" s="2"/>
      <c r="Q20" s="2"/>
      <c r="W20" s="132">
        <v>42772</v>
      </c>
      <c r="X20" s="10">
        <v>24.53</v>
      </c>
      <c r="Y20" s="10">
        <v>24.73</v>
      </c>
      <c r="Z20" s="10">
        <v>24.21</v>
      </c>
      <c r="AA20" s="10">
        <v>24.34</v>
      </c>
      <c r="AB20" s="94">
        <v>18854300</v>
      </c>
      <c r="AC20" s="10">
        <v>24.34</v>
      </c>
      <c r="AD20">
        <f t="shared" si="1"/>
        <v>0.51999999999999957</v>
      </c>
      <c r="AE20" s="137">
        <f t="shared" si="2"/>
        <v>-1.0569105691056957E-2</v>
      </c>
    </row>
    <row r="21" spans="1:41" x14ac:dyDescent="0.25">
      <c r="B21" s="30"/>
      <c r="N21" s="4"/>
      <c r="O21" s="2"/>
      <c r="P21" s="2"/>
      <c r="Q21" s="2"/>
      <c r="W21" s="132">
        <v>42769</v>
      </c>
      <c r="X21" s="10">
        <v>24.9</v>
      </c>
      <c r="Y21" s="10">
        <v>25.24</v>
      </c>
      <c r="Z21" s="10">
        <v>24.5</v>
      </c>
      <c r="AA21" s="10">
        <v>24.6</v>
      </c>
      <c r="AB21" s="94">
        <v>22833700</v>
      </c>
      <c r="AC21" s="10">
        <v>24.6</v>
      </c>
      <c r="AD21">
        <f t="shared" si="1"/>
        <v>0.73999999999999844</v>
      </c>
      <c r="AE21" s="137">
        <f t="shared" si="2"/>
        <v>-7.664380798709014E-3</v>
      </c>
    </row>
    <row r="22" spans="1:41" x14ac:dyDescent="0.25">
      <c r="A22" s="22" t="s">
        <v>81</v>
      </c>
      <c r="B22" s="12"/>
      <c r="C22" s="12">
        <f>SUM(C2:C21)</f>
        <v>2250</v>
      </c>
      <c r="D22" s="12"/>
      <c r="E22" s="12"/>
      <c r="F22" s="13">
        <f>SUM(F2:F21)</f>
        <v>53604.68</v>
      </c>
      <c r="G22" s="12"/>
      <c r="H22" s="12">
        <f>SUM(H2:H21)</f>
        <v>1250</v>
      </c>
      <c r="I22" s="13"/>
      <c r="J22" s="13"/>
      <c r="K22" s="13">
        <f>SUM(K2:K21)</f>
        <v>31233.319999999996</v>
      </c>
      <c r="L22" s="13"/>
      <c r="M22" s="13">
        <f>SUM(M2:M21)</f>
        <v>0</v>
      </c>
      <c r="N22" s="4"/>
      <c r="O22" s="2"/>
      <c r="P22" s="2"/>
      <c r="Q22" s="2"/>
      <c r="W22" s="132">
        <v>42768</v>
      </c>
      <c r="X22" s="10">
        <v>24.53</v>
      </c>
      <c r="Y22" s="10">
        <v>25.31</v>
      </c>
      <c r="Z22" s="10">
        <v>24.46</v>
      </c>
      <c r="AA22" s="10">
        <v>24.79</v>
      </c>
      <c r="AB22" s="94">
        <v>45445400</v>
      </c>
      <c r="AC22" s="10">
        <v>24.79</v>
      </c>
      <c r="AD22">
        <f t="shared" si="1"/>
        <v>0.84999999999999787</v>
      </c>
      <c r="AE22" s="137">
        <f t="shared" si="2"/>
        <v>1.6161616161616266E-3</v>
      </c>
    </row>
    <row r="23" spans="1:41" ht="15.75" thickBot="1" x14ac:dyDescent="0.3">
      <c r="A23" s="353" t="s">
        <v>197</v>
      </c>
      <c r="B23" s="354"/>
      <c r="C23" s="355">
        <f>SumByColor($A$23,C2:C21)</f>
        <v>1150</v>
      </c>
      <c r="D23" s="355"/>
      <c r="E23" s="355"/>
      <c r="F23" s="356">
        <f>SumByColor($A$23,F2:F21)</f>
        <v>26706</v>
      </c>
      <c r="G23" s="355"/>
      <c r="H23" s="355">
        <f>SumByColor($A$23,H2:H21)</f>
        <v>1250</v>
      </c>
      <c r="I23" s="355"/>
      <c r="J23" s="355"/>
      <c r="K23" s="356">
        <f>SumByColor($A$23,K2:K21)</f>
        <v>31234</v>
      </c>
      <c r="L23" s="355"/>
      <c r="M23" s="356">
        <f>SumByColor($A$23,M2:M21)</f>
        <v>0</v>
      </c>
      <c r="N23" s="4"/>
      <c r="O23" s="2"/>
      <c r="P23" s="2"/>
      <c r="Q23" s="2"/>
      <c r="W23" s="132">
        <v>42767</v>
      </c>
      <c r="X23" s="10">
        <v>24.43</v>
      </c>
      <c r="Y23" s="10">
        <v>24.85</v>
      </c>
      <c r="Z23" s="10">
        <v>24.31</v>
      </c>
      <c r="AA23" s="10">
        <v>24.75</v>
      </c>
      <c r="AB23" s="94">
        <v>28679100</v>
      </c>
      <c r="AC23" s="10">
        <v>24.75</v>
      </c>
      <c r="AD23">
        <f t="shared" si="1"/>
        <v>0.5400000000000027</v>
      </c>
      <c r="AE23" s="137">
        <f t="shared" si="2"/>
        <v>2.6545002073828261E-2</v>
      </c>
    </row>
    <row r="24" spans="1:41" x14ac:dyDescent="0.25">
      <c r="N24" s="4"/>
      <c r="O24" s="2"/>
      <c r="P24" s="2"/>
      <c r="Q24" s="2"/>
      <c r="W24" s="132">
        <v>42766</v>
      </c>
      <c r="X24" s="10">
        <v>23.95</v>
      </c>
      <c r="Y24" s="10">
        <v>24.15</v>
      </c>
      <c r="Z24" s="10">
        <v>23.68</v>
      </c>
      <c r="AA24" s="10">
        <v>24.11</v>
      </c>
      <c r="AB24" s="94">
        <v>22667100</v>
      </c>
      <c r="AC24" s="10">
        <v>24.11</v>
      </c>
      <c r="AD24">
        <f t="shared" si="1"/>
        <v>0.46999999999999886</v>
      </c>
      <c r="AE24" s="137">
        <f t="shared" si="2"/>
        <v>-2.8949545078577055E-3</v>
      </c>
    </row>
    <row r="25" spans="1:41" x14ac:dyDescent="0.25">
      <c r="B25" s="501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42765</v>
      </c>
      <c r="X25" s="10">
        <v>23.82</v>
      </c>
      <c r="Y25" s="10">
        <v>24.24</v>
      </c>
      <c r="Z25" s="10">
        <v>23.43</v>
      </c>
      <c r="AA25" s="10">
        <v>24.18</v>
      </c>
      <c r="AB25" s="94">
        <v>30489500</v>
      </c>
      <c r="AC25" s="10">
        <v>24.18</v>
      </c>
      <c r="AD25">
        <f t="shared" si="1"/>
        <v>0.80999999999999872</v>
      </c>
      <c r="AE25" s="137">
        <f t="shared" si="2"/>
        <v>8.7609511889863434E-3</v>
      </c>
    </row>
    <row r="26" spans="1:41" x14ac:dyDescent="0.25">
      <c r="B26" s="501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42762</v>
      </c>
      <c r="X26" s="10">
        <v>23.53</v>
      </c>
      <c r="Y26" s="10">
        <v>24.1</v>
      </c>
      <c r="Z26" s="10">
        <v>23.45</v>
      </c>
      <c r="AA26" s="10">
        <v>23.97</v>
      </c>
      <c r="AB26" s="94">
        <v>18564400</v>
      </c>
      <c r="AC26" s="10">
        <v>23.97</v>
      </c>
      <c r="AD26">
        <f t="shared" si="1"/>
        <v>0.65000000000000213</v>
      </c>
      <c r="AE26" s="137">
        <f t="shared" si="2"/>
        <v>1.9132653061224358E-2</v>
      </c>
    </row>
    <row r="27" spans="1:41" x14ac:dyDescent="0.25">
      <c r="B27" s="501"/>
      <c r="C27" s="4"/>
      <c r="D27" s="3"/>
      <c r="E27" s="3"/>
      <c r="F27" s="3"/>
      <c r="G27" s="73"/>
      <c r="H27" s="184"/>
      <c r="I27" s="3"/>
      <c r="J27" s="3"/>
      <c r="K27" s="3"/>
      <c r="L27" s="4"/>
      <c r="M27" s="4"/>
      <c r="N27" s="4"/>
      <c r="O27" s="2"/>
      <c r="P27" s="2"/>
      <c r="Q27" s="2"/>
      <c r="W27" s="132">
        <v>42761</v>
      </c>
      <c r="X27" s="10">
        <v>23.8</v>
      </c>
      <c r="Y27" s="10">
        <v>23.99</v>
      </c>
      <c r="Z27" s="10">
        <v>23.29</v>
      </c>
      <c r="AA27" s="10">
        <v>23.52</v>
      </c>
      <c r="AB27" s="94">
        <v>19311300</v>
      </c>
      <c r="AC27" s="10">
        <v>23.52</v>
      </c>
      <c r="AD27">
        <f t="shared" si="1"/>
        <v>0.69999999999999929</v>
      </c>
      <c r="AE27" s="137">
        <f t="shared" si="2"/>
        <v>-1.6977928692699651E-3</v>
      </c>
    </row>
    <row r="28" spans="1:41" x14ac:dyDescent="0.25">
      <c r="B28" s="501"/>
      <c r="C28" s="4"/>
      <c r="D28" s="3"/>
      <c r="E28" s="3"/>
      <c r="F28" s="3"/>
      <c r="G28" s="73"/>
      <c r="H28" s="184"/>
      <c r="I28" s="3"/>
      <c r="J28" s="3"/>
      <c r="K28" s="3"/>
      <c r="L28" s="4"/>
      <c r="M28" s="4"/>
      <c r="N28" s="4"/>
      <c r="O28" s="2"/>
      <c r="P28" s="2"/>
      <c r="Q28" s="2"/>
      <c r="W28" s="132">
        <v>42760</v>
      </c>
      <c r="X28" s="10">
        <v>23.4</v>
      </c>
      <c r="Y28" s="10">
        <v>23.98</v>
      </c>
      <c r="Z28" s="10">
        <v>23.19</v>
      </c>
      <c r="AA28" s="10">
        <v>23.56</v>
      </c>
      <c r="AB28" s="94">
        <v>31611800</v>
      </c>
      <c r="AC28" s="10">
        <v>23.56</v>
      </c>
      <c r="AD28">
        <f t="shared" si="1"/>
        <v>0.78999999999999915</v>
      </c>
      <c r="AE28" s="137">
        <f t="shared" si="2"/>
        <v>3.1072210065645312E-2</v>
      </c>
    </row>
    <row r="29" spans="1:4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544</v>
      </c>
      <c r="K29" s="3"/>
      <c r="L29" s="4"/>
      <c r="M29" s="4"/>
      <c r="N29" s="4"/>
      <c r="W29" s="132">
        <v>42759</v>
      </c>
      <c r="X29" s="10">
        <v>22.27</v>
      </c>
      <c r="Y29" s="10">
        <v>23.09</v>
      </c>
      <c r="Z29" s="10">
        <v>22.26</v>
      </c>
      <c r="AA29" s="10">
        <v>22.85</v>
      </c>
      <c r="AB29" s="94">
        <v>29245300</v>
      </c>
      <c r="AC29" s="10">
        <v>22.85</v>
      </c>
      <c r="AD29">
        <f t="shared" si="1"/>
        <v>0.82999999999999829</v>
      </c>
      <c r="AE29" s="137">
        <f t="shared" si="2"/>
        <v>4.3855641845591542E-2</v>
      </c>
    </row>
    <row r="30" spans="1:41" x14ac:dyDescent="0.25">
      <c r="A30" s="378" t="s">
        <v>387</v>
      </c>
      <c r="B30" s="377">
        <v>42754</v>
      </c>
      <c r="C30" s="378">
        <v>1550</v>
      </c>
      <c r="D30" s="383">
        <v>20.207419000000002</v>
      </c>
      <c r="E30" s="379">
        <v>21.71</v>
      </c>
      <c r="F30" s="379">
        <f t="shared" ref="F30:F39" si="3">-C30*(D30-E30)</f>
        <v>2329.0005499999988</v>
      </c>
      <c r="G30" s="379">
        <f t="shared" ref="G30:G39" si="4">IF(C30=0, 0,D30*C30)</f>
        <v>31321.499450000003</v>
      </c>
      <c r="H30" s="381">
        <f t="shared" ref="H30:H39" si="5">IF(C30=0, D30, (E30-D30)/D30)</f>
        <v>7.4357888060815641E-2</v>
      </c>
      <c r="I30" s="379"/>
      <c r="J30" s="379"/>
      <c r="K30" s="3"/>
      <c r="L30" s="4"/>
      <c r="M30" s="4"/>
      <c r="N30" s="4"/>
      <c r="W30" s="132">
        <v>42758</v>
      </c>
      <c r="X30" s="10">
        <v>21.96</v>
      </c>
      <c r="Y30" s="10">
        <v>22.31</v>
      </c>
      <c r="Z30" s="10">
        <v>21.74</v>
      </c>
      <c r="AA30" s="10">
        <v>21.89</v>
      </c>
      <c r="AB30" s="94">
        <v>16059700</v>
      </c>
      <c r="AC30" s="10">
        <v>21.89</v>
      </c>
      <c r="AD30">
        <f t="shared" si="1"/>
        <v>0.57000000000000028</v>
      </c>
      <c r="AE30" s="137">
        <f t="shared" si="2"/>
        <v>-3.1876138433515333E-3</v>
      </c>
    </row>
    <row r="31" spans="1:41" x14ac:dyDescent="0.25">
      <c r="A31" s="378" t="s">
        <v>394</v>
      </c>
      <c r="B31" s="377">
        <v>42759</v>
      </c>
      <c r="C31" s="378">
        <v>1350</v>
      </c>
      <c r="D31" s="383">
        <v>19.798221999999999</v>
      </c>
      <c r="E31" s="379">
        <v>22.995000000000001</v>
      </c>
      <c r="F31" s="379">
        <f t="shared" si="3"/>
        <v>4315.650300000003</v>
      </c>
      <c r="G31" s="379">
        <f t="shared" si="4"/>
        <v>26727.599699999999</v>
      </c>
      <c r="H31" s="381">
        <f t="shared" si="5"/>
        <v>0.16146793383769523</v>
      </c>
      <c r="I31" s="379"/>
      <c r="J31" s="379"/>
      <c r="K31" s="3"/>
      <c r="L31" s="4"/>
      <c r="M31" s="4"/>
      <c r="N31" s="4"/>
      <c r="W31" s="132">
        <v>42755</v>
      </c>
      <c r="X31" s="10">
        <v>21.9</v>
      </c>
      <c r="Y31" s="10">
        <v>22.33</v>
      </c>
      <c r="Z31" s="10">
        <v>21.89</v>
      </c>
      <c r="AA31" s="10">
        <v>21.96</v>
      </c>
      <c r="AB31" s="94">
        <v>19896500</v>
      </c>
      <c r="AC31" s="10">
        <v>21.96</v>
      </c>
      <c r="AD31">
        <f t="shared" si="1"/>
        <v>0.43999999999999773</v>
      </c>
      <c r="AE31" s="137">
        <f t="shared" si="2"/>
        <v>1.1515430677107252E-2</v>
      </c>
    </row>
    <row r="32" spans="1:41" x14ac:dyDescent="0.25">
      <c r="A32" s="378" t="s">
        <v>395</v>
      </c>
      <c r="B32" s="377">
        <v>42759</v>
      </c>
      <c r="C32" s="378">
        <v>1550</v>
      </c>
      <c r="D32" s="383">
        <v>20.192</v>
      </c>
      <c r="E32" s="379">
        <v>22.86</v>
      </c>
      <c r="F32" s="379">
        <f t="shared" si="3"/>
        <v>4135.3999999999987</v>
      </c>
      <c r="G32" s="379">
        <f t="shared" si="4"/>
        <v>31297.599999999999</v>
      </c>
      <c r="H32" s="381">
        <f t="shared" si="5"/>
        <v>0.13213153724247223</v>
      </c>
      <c r="I32" s="379"/>
      <c r="J32" s="379"/>
      <c r="K32" s="3"/>
      <c r="L32" s="4"/>
      <c r="M32" s="4"/>
      <c r="N32" s="4"/>
      <c r="W32" s="132">
        <v>42754</v>
      </c>
      <c r="X32" s="10">
        <v>21.5</v>
      </c>
      <c r="Y32" s="10">
        <v>22.3</v>
      </c>
      <c r="Z32" s="10">
        <v>21.49</v>
      </c>
      <c r="AA32" s="10">
        <v>21.71</v>
      </c>
      <c r="AB32" s="94">
        <v>31235500</v>
      </c>
      <c r="AC32" s="10">
        <v>21.71</v>
      </c>
      <c r="AD32">
        <f t="shared" si="1"/>
        <v>0.81000000000000227</v>
      </c>
      <c r="AE32" s="137">
        <f t="shared" si="2"/>
        <v>-2.7329749103942591E-2</v>
      </c>
    </row>
    <row r="33" spans="1:41" x14ac:dyDescent="0.25">
      <c r="A33" s="378"/>
      <c r="B33" s="377">
        <v>42760</v>
      </c>
      <c r="C33" s="378">
        <v>950</v>
      </c>
      <c r="D33" s="383">
        <v>17.926220000000001</v>
      </c>
      <c r="E33" s="379">
        <v>23.78</v>
      </c>
      <c r="F33" s="379">
        <f t="shared" si="3"/>
        <v>5561.0910000000003</v>
      </c>
      <c r="G33" s="379">
        <f t="shared" si="4"/>
        <v>17029.909</v>
      </c>
      <c r="H33" s="381">
        <f t="shared" si="5"/>
        <v>0.32654848596078817</v>
      </c>
      <c r="I33" s="379"/>
      <c r="J33" s="379"/>
      <c r="K33" s="3"/>
      <c r="L33" s="4"/>
      <c r="M33" s="4"/>
      <c r="N33" s="4"/>
      <c r="W33" s="132">
        <v>42753</v>
      </c>
      <c r="X33" s="10">
        <v>21.68</v>
      </c>
      <c r="Y33" s="10">
        <v>22.34</v>
      </c>
      <c r="Z33" s="10">
        <v>21.53</v>
      </c>
      <c r="AA33" s="10">
        <v>22.32</v>
      </c>
      <c r="AB33" s="94">
        <v>19415200</v>
      </c>
      <c r="AC33" s="10">
        <v>22.32</v>
      </c>
      <c r="AD33">
        <f t="shared" si="1"/>
        <v>0.80999999999999872</v>
      </c>
      <c r="AE33" s="137">
        <f t="shared" si="2"/>
        <v>2.6678932842686409E-2</v>
      </c>
    </row>
    <row r="34" spans="1:41" x14ac:dyDescent="0.25">
      <c r="A34" s="378" t="s">
        <v>396</v>
      </c>
      <c r="B34" s="377">
        <v>42760</v>
      </c>
      <c r="C34" s="378">
        <v>1550</v>
      </c>
      <c r="D34" s="383">
        <v>20.03736</v>
      </c>
      <c r="E34" s="379">
        <v>23.38</v>
      </c>
      <c r="F34" s="379">
        <f t="shared" si="3"/>
        <v>5181.0919999999987</v>
      </c>
      <c r="G34" s="379">
        <f t="shared" si="4"/>
        <v>31057.907999999999</v>
      </c>
      <c r="H34" s="381">
        <f t="shared" si="5"/>
        <v>0.16682037953103598</v>
      </c>
      <c r="I34" s="379">
        <v>20</v>
      </c>
      <c r="J34" s="379"/>
      <c r="K34" s="3"/>
      <c r="L34" s="4"/>
      <c r="M34" s="4"/>
      <c r="N34" s="4"/>
      <c r="W34" s="132">
        <v>42752</v>
      </c>
      <c r="X34" s="10">
        <v>21.88</v>
      </c>
      <c r="Y34" s="10">
        <v>22.07</v>
      </c>
      <c r="Z34" s="10">
        <v>21.58</v>
      </c>
      <c r="AA34" s="10">
        <v>21.74</v>
      </c>
      <c r="AB34" s="94">
        <v>19884600</v>
      </c>
      <c r="AC34" s="10">
        <v>21.74</v>
      </c>
      <c r="AD34">
        <f t="shared" si="1"/>
        <v>0.49000000000000199</v>
      </c>
      <c r="AE34" s="137">
        <f t="shared" si="2"/>
        <v>-1.9837691614066788E-2</v>
      </c>
    </row>
    <row r="35" spans="1:41" x14ac:dyDescent="0.25">
      <c r="A35" s="524" t="s">
        <v>421</v>
      </c>
      <c r="B35" s="523">
        <v>42765</v>
      </c>
      <c r="C35" s="524">
        <v>1350</v>
      </c>
      <c r="D35" s="525">
        <v>23.093333000000001</v>
      </c>
      <c r="E35" s="526">
        <v>24.18</v>
      </c>
      <c r="F35" s="526">
        <f t="shared" si="3"/>
        <v>1467.000449999998</v>
      </c>
      <c r="G35" s="526">
        <f t="shared" si="4"/>
        <v>31175.99955</v>
      </c>
      <c r="H35" s="527">
        <f t="shared" si="5"/>
        <v>4.7055442365118903E-2</v>
      </c>
      <c r="I35" s="526"/>
      <c r="J35" s="526"/>
      <c r="K35" s="3"/>
      <c r="L35" s="4"/>
      <c r="M35" s="4"/>
      <c r="N35" s="4"/>
      <c r="W35" s="132">
        <v>42748</v>
      </c>
      <c r="X35" s="10">
        <v>22.27</v>
      </c>
      <c r="Y35" s="10">
        <v>22.31</v>
      </c>
      <c r="Z35" s="10">
        <v>21.99</v>
      </c>
      <c r="AA35" s="10">
        <v>22.18</v>
      </c>
      <c r="AB35" s="94">
        <v>14017800</v>
      </c>
      <c r="AC35" s="10">
        <v>22.18</v>
      </c>
      <c r="AD35">
        <f t="shared" si="1"/>
        <v>0.32000000000000028</v>
      </c>
      <c r="AE35" s="137">
        <f t="shared" si="2"/>
        <v>-5.8269834155086908E-3</v>
      </c>
    </row>
    <row r="36" spans="1:41" x14ac:dyDescent="0.25">
      <c r="A36" s="524" t="s">
        <v>439</v>
      </c>
      <c r="B36" s="523">
        <v>42769</v>
      </c>
      <c r="C36" s="524">
        <v>1350</v>
      </c>
      <c r="D36" s="525">
        <v>23.059799999999999</v>
      </c>
      <c r="E36" s="526">
        <v>24.6</v>
      </c>
      <c r="F36" s="526">
        <f t="shared" si="3"/>
        <v>2079.2700000000032</v>
      </c>
      <c r="G36" s="526">
        <f t="shared" si="4"/>
        <v>31130.73</v>
      </c>
      <c r="H36" s="527">
        <f t="shared" si="5"/>
        <v>6.679155933702817E-2</v>
      </c>
      <c r="I36" s="526"/>
      <c r="J36" s="526"/>
      <c r="K36" s="3"/>
      <c r="L36" s="4"/>
      <c r="M36" s="4"/>
      <c r="N36" s="4"/>
      <c r="W36" s="132">
        <v>42747</v>
      </c>
      <c r="X36" s="10">
        <v>22.46</v>
      </c>
      <c r="Y36" s="10">
        <v>22.48</v>
      </c>
      <c r="Z36" s="10">
        <v>21.7</v>
      </c>
      <c r="AA36" s="10">
        <v>22.31</v>
      </c>
      <c r="AB36" s="94">
        <v>27522700</v>
      </c>
      <c r="AC36" s="10">
        <v>22.31</v>
      </c>
      <c r="AD36">
        <f t="shared" si="1"/>
        <v>0.78000000000000114</v>
      </c>
      <c r="AE36" s="137">
        <f t="shared" si="2"/>
        <v>-2.1061869240895148E-2</v>
      </c>
      <c r="AL36" s="233"/>
    </row>
    <row r="37" spans="1:41" x14ac:dyDescent="0.25">
      <c r="A37" s="524" t="s">
        <v>469</v>
      </c>
      <c r="B37" s="523">
        <v>42776</v>
      </c>
      <c r="C37" s="524">
        <v>1550</v>
      </c>
      <c r="D37" s="525">
        <v>23.174665000000001</v>
      </c>
      <c r="E37" s="526">
        <v>24.05</v>
      </c>
      <c r="F37" s="526">
        <f t="shared" si="3"/>
        <v>1356.7692499999996</v>
      </c>
      <c r="G37" s="526">
        <f t="shared" si="4"/>
        <v>35920.730750000002</v>
      </c>
      <c r="H37" s="527">
        <f t="shared" si="5"/>
        <v>3.7771204028191979E-2</v>
      </c>
      <c r="I37" s="526">
        <v>23</v>
      </c>
      <c r="J37" s="526"/>
      <c r="K37" s="3"/>
      <c r="L37" s="4"/>
      <c r="M37" s="4"/>
      <c r="N37" s="4"/>
      <c r="W37" s="132">
        <v>42746</v>
      </c>
      <c r="X37" s="10">
        <v>22.61</v>
      </c>
      <c r="Y37" s="10">
        <v>22.88</v>
      </c>
      <c r="Z37" s="10">
        <v>22.56</v>
      </c>
      <c r="AA37" s="10">
        <v>22.79</v>
      </c>
      <c r="AB37" s="94">
        <v>20791800</v>
      </c>
      <c r="AC37" s="10">
        <v>22.79</v>
      </c>
      <c r="AD37">
        <f t="shared" si="1"/>
        <v>0.32000000000000028</v>
      </c>
      <c r="AE37" s="137">
        <f t="shared" si="2"/>
        <v>1.3790035587188498E-2</v>
      </c>
    </row>
    <row r="38" spans="1:41" x14ac:dyDescent="0.25">
      <c r="A38" s="524" t="s">
        <v>476</v>
      </c>
      <c r="B38" s="523">
        <v>42780</v>
      </c>
      <c r="C38" s="524">
        <v>1650</v>
      </c>
      <c r="D38" s="525">
        <v>23.174665000000001</v>
      </c>
      <c r="E38" s="526">
        <v>23.12</v>
      </c>
      <c r="F38" s="526">
        <f t="shared" si="3"/>
        <v>-90.19724999999994</v>
      </c>
      <c r="G38" s="526">
        <f t="shared" si="4"/>
        <v>38238.197250000005</v>
      </c>
      <c r="H38" s="527">
        <f t="shared" si="5"/>
        <v>-2.3588258988856995E-3</v>
      </c>
      <c r="I38" s="526"/>
      <c r="J38" s="526"/>
      <c r="K38" s="3"/>
      <c r="L38" s="4"/>
      <c r="M38" s="3"/>
      <c r="N38" s="4"/>
      <c r="W38" s="132">
        <v>42745</v>
      </c>
      <c r="X38" s="10">
        <v>22.36</v>
      </c>
      <c r="Y38" s="10">
        <v>22.69</v>
      </c>
      <c r="Z38" s="10">
        <v>22.3</v>
      </c>
      <c r="AA38" s="10">
        <v>22.48</v>
      </c>
      <c r="AB38" s="94">
        <v>20600000</v>
      </c>
      <c r="AC38" s="10">
        <v>22.48</v>
      </c>
      <c r="AD38">
        <f t="shared" si="1"/>
        <v>0.39000000000000057</v>
      </c>
      <c r="AE38" s="137">
        <f t="shared" si="2"/>
        <v>6.2667860340197556E-3</v>
      </c>
    </row>
    <row r="39" spans="1:41" x14ac:dyDescent="0.25">
      <c r="A39" s="524" t="s">
        <v>492</v>
      </c>
      <c r="B39" s="523">
        <v>42782</v>
      </c>
      <c r="C39" s="524">
        <v>1550</v>
      </c>
      <c r="D39" s="525">
        <v>23.148890000000002</v>
      </c>
      <c r="E39" s="526">
        <v>22.98</v>
      </c>
      <c r="F39" s="526">
        <f t="shared" si="3"/>
        <v>-261.77950000000169</v>
      </c>
      <c r="G39" s="526">
        <f t="shared" si="4"/>
        <v>35880.779500000004</v>
      </c>
      <c r="H39" s="527">
        <f t="shared" si="5"/>
        <v>-7.2958141837470864E-3</v>
      </c>
      <c r="I39" s="526">
        <v>23</v>
      </c>
      <c r="J39" s="526"/>
      <c r="K39" s="3"/>
      <c r="L39" s="4"/>
      <c r="M39" s="4"/>
      <c r="N39" s="4"/>
      <c r="W39" s="132">
        <v>42744</v>
      </c>
      <c r="X39" s="10">
        <v>21.94</v>
      </c>
      <c r="Y39" s="10">
        <v>22.55</v>
      </c>
      <c r="Z39" s="10">
        <v>21.94</v>
      </c>
      <c r="AA39" s="10">
        <v>22.34</v>
      </c>
      <c r="AB39" s="94">
        <v>21524300</v>
      </c>
      <c r="AC39" s="10">
        <v>22.34</v>
      </c>
      <c r="AD39">
        <f t="shared" si="1"/>
        <v>0.60999999999999943</v>
      </c>
      <c r="AE39" s="137">
        <f t="shared" si="2"/>
        <v>1.3611615245009201E-2</v>
      </c>
    </row>
    <row r="40" spans="1:41" x14ac:dyDescent="0.25">
      <c r="A40" s="4" t="s">
        <v>492</v>
      </c>
      <c r="B40" s="192">
        <v>42788</v>
      </c>
      <c r="C40" s="10">
        <v>1550</v>
      </c>
      <c r="D40" s="199">
        <v>23.390999999999998</v>
      </c>
      <c r="E40" s="40">
        <v>23.75</v>
      </c>
      <c r="F40" s="40">
        <f t="shared" ref="F40" si="6">-C40*(D40-E40)</f>
        <v>556.45000000000277</v>
      </c>
      <c r="G40" s="40">
        <f t="shared" ref="G40" si="7">IF(C40=0, 0,D40*C40)</f>
        <v>36256.049999999996</v>
      </c>
      <c r="H40" s="231">
        <f t="shared" ref="H40" si="8">IF(C40=0, D40, (E40-D40)/D40)</f>
        <v>1.5347783335470985E-2</v>
      </c>
      <c r="I40" s="40">
        <v>23</v>
      </c>
      <c r="J40" s="40"/>
      <c r="K40" s="3"/>
      <c r="L40" s="4"/>
      <c r="M40" s="4"/>
      <c r="N40" s="4"/>
      <c r="W40" s="132">
        <v>42741</v>
      </c>
      <c r="X40" s="10">
        <v>22.27</v>
      </c>
      <c r="Y40" s="10">
        <v>22.28</v>
      </c>
      <c r="Z40" s="10">
        <v>21.98</v>
      </c>
      <c r="AA40" s="10">
        <v>22.04</v>
      </c>
      <c r="AB40" s="94">
        <v>17762000</v>
      </c>
      <c r="AC40" s="10">
        <v>22.04</v>
      </c>
      <c r="AD40">
        <f t="shared" si="1"/>
        <v>0.30000000000000071</v>
      </c>
      <c r="AE40" s="137">
        <f t="shared" si="2"/>
        <v>-3.1659882406150919E-3</v>
      </c>
    </row>
    <row r="41" spans="1:41" x14ac:dyDescent="0.25">
      <c r="A41" s="524" t="s">
        <v>519</v>
      </c>
      <c r="B41" s="192">
        <v>42790</v>
      </c>
      <c r="C41" s="10">
        <v>1550</v>
      </c>
      <c r="D41" s="199">
        <v>23.390999999999998</v>
      </c>
      <c r="E41" s="40">
        <v>23.24</v>
      </c>
      <c r="F41" s="40">
        <f t="shared" ref="F41" si="9">-C41*(D41-E41)</f>
        <v>-234.0499999999997</v>
      </c>
      <c r="G41" s="40">
        <f t="shared" ref="G41" si="10">IF(C41=0, 0,D41*C41)</f>
        <v>36256.049999999996</v>
      </c>
      <c r="H41" s="231">
        <f t="shared" ref="H41" si="11">IF(C41=0, D41, (E41-D41)/D41)</f>
        <v>-6.4554743277328809E-3</v>
      </c>
      <c r="I41" s="40"/>
      <c r="J41" s="40"/>
      <c r="K41" s="3"/>
      <c r="L41" s="4"/>
      <c r="M41" s="4"/>
      <c r="N41" s="4"/>
      <c r="W41" s="132">
        <v>42740</v>
      </c>
      <c r="X41" s="10">
        <v>22.4</v>
      </c>
      <c r="Y41" s="10">
        <v>22.57</v>
      </c>
      <c r="Z41" s="10">
        <v>21.96</v>
      </c>
      <c r="AA41" s="10">
        <v>22.11</v>
      </c>
      <c r="AB41" s="94">
        <v>19723400</v>
      </c>
      <c r="AC41" s="10">
        <v>22.11</v>
      </c>
      <c r="AD41">
        <f t="shared" si="1"/>
        <v>0.60999999999999943</v>
      </c>
      <c r="AE41" s="137">
        <f t="shared" si="2"/>
        <v>-1.1180679785330994E-2</v>
      </c>
    </row>
    <row r="42" spans="1:41" ht="20.25" thickBot="1" x14ac:dyDescent="0.35">
      <c r="B42" s="192">
        <v>42793</v>
      </c>
      <c r="C42" s="10">
        <v>1550</v>
      </c>
      <c r="D42" s="199">
        <v>23.390999999999998</v>
      </c>
      <c r="E42" s="40">
        <v>23.76</v>
      </c>
      <c r="F42" s="40">
        <f t="shared" ref="F42:F43" si="12">-C42*(D42-E42)</f>
        <v>571.95000000000516</v>
      </c>
      <c r="G42" s="40">
        <f t="shared" ref="G42:G43" si="13">IF(C42=0, 0,D42*C42)</f>
        <v>36256.049999999996</v>
      </c>
      <c r="H42" s="231">
        <f t="shared" ref="H42:H43" si="14">IF(C42=0, D42, (E42-D42)/D42)</f>
        <v>1.5775298191612303E-2</v>
      </c>
      <c r="I42" s="40"/>
      <c r="J42" s="40"/>
      <c r="K42" s="3"/>
      <c r="L42" s="4"/>
      <c r="M42" s="4"/>
      <c r="N42" s="4"/>
      <c r="T42" s="90" t="s">
        <v>113</v>
      </c>
      <c r="W42" s="132">
        <v>42739</v>
      </c>
      <c r="X42" s="10">
        <v>22.67</v>
      </c>
      <c r="Y42" s="10">
        <v>22.84</v>
      </c>
      <c r="Z42" s="10">
        <v>22.25</v>
      </c>
      <c r="AA42" s="10">
        <v>22.36</v>
      </c>
      <c r="AB42" s="94">
        <v>20326700</v>
      </c>
      <c r="AC42" s="10">
        <v>22.36</v>
      </c>
      <c r="AD42">
        <f t="shared" si="1"/>
        <v>0.58999999999999986</v>
      </c>
      <c r="AE42" s="137">
        <f t="shared" si="2"/>
        <v>-8.4257206208426805E-3</v>
      </c>
      <c r="AL42" s="233"/>
      <c r="AO42" s="233"/>
    </row>
    <row r="43" spans="1:41" ht="15.75" thickTop="1" x14ac:dyDescent="0.25">
      <c r="A43">
        <v>600</v>
      </c>
      <c r="B43" s="192">
        <v>42795</v>
      </c>
      <c r="C43" s="10">
        <v>1200</v>
      </c>
      <c r="D43" s="199">
        <v>23.166550000000001</v>
      </c>
      <c r="E43" s="40">
        <v>24.55</v>
      </c>
      <c r="F43" s="40">
        <f t="shared" si="12"/>
        <v>1660.1399999999999</v>
      </c>
      <c r="G43" s="40">
        <f t="shared" si="13"/>
        <v>27799.86</v>
      </c>
      <c r="H43" s="231">
        <f t="shared" si="14"/>
        <v>5.9717566922998885E-2</v>
      </c>
      <c r="I43" s="40">
        <v>23</v>
      </c>
      <c r="J43" s="40">
        <v>14210</v>
      </c>
      <c r="N43" s="4"/>
      <c r="T43" s="127" t="s">
        <v>98</v>
      </c>
      <c r="U43" s="128">
        <v>24.7</v>
      </c>
      <c r="W43" s="132">
        <v>42738</v>
      </c>
      <c r="X43" s="10">
        <v>22.07</v>
      </c>
      <c r="Y43" s="10">
        <v>22.74</v>
      </c>
      <c r="Z43" s="10">
        <v>22.05</v>
      </c>
      <c r="AA43" s="10">
        <v>22.55</v>
      </c>
      <c r="AB43" s="94">
        <v>24908600</v>
      </c>
      <c r="AC43" s="10">
        <v>22.55</v>
      </c>
      <c r="AD43">
        <f t="shared" si="1"/>
        <v>0.68999999999999773</v>
      </c>
      <c r="AE43" s="137">
        <f t="shared" si="2"/>
        <v>2.8740875912408814E-2</v>
      </c>
    </row>
    <row r="44" spans="1:41" ht="20.25" thickBot="1" x14ac:dyDescent="0.35">
      <c r="A44">
        <v>200</v>
      </c>
      <c r="B44" s="192">
        <v>42796</v>
      </c>
      <c r="C44" s="10">
        <v>1200</v>
      </c>
      <c r="D44" s="199">
        <v>22.916799999999999</v>
      </c>
      <c r="E44" s="40">
        <v>24.7</v>
      </c>
      <c r="F44" s="40">
        <f t="shared" ref="F44:F45" si="15">-C44*(D44-E44)</f>
        <v>2139.8400000000011</v>
      </c>
      <c r="G44" s="40">
        <f t="shared" ref="G44:G45" si="16">IF(C44=0, 0,D44*C44)</f>
        <v>27500.16</v>
      </c>
      <c r="H44" s="231">
        <f t="shared" ref="H44:H45" si="17">IF(C44=0, D44, (E44-D44)/D44)</f>
        <v>7.7811910912518364E-2</v>
      </c>
      <c r="I44" s="40">
        <v>22.5</v>
      </c>
      <c r="J44" s="40">
        <v>14690</v>
      </c>
      <c r="N44" s="4"/>
      <c r="O44" s="703" t="s">
        <v>78</v>
      </c>
      <c r="P44" s="703"/>
      <c r="T44" s="92" t="s">
        <v>99</v>
      </c>
      <c r="U44" s="129">
        <v>25.2</v>
      </c>
      <c r="W44" s="132">
        <v>42734</v>
      </c>
      <c r="X44" s="10">
        <v>22.35</v>
      </c>
      <c r="Y44" s="10">
        <v>22.4</v>
      </c>
      <c r="Z44" s="10">
        <v>21.75</v>
      </c>
      <c r="AA44" s="10">
        <v>21.92</v>
      </c>
      <c r="AB44" s="94">
        <v>20250400</v>
      </c>
      <c r="AC44" s="10">
        <v>21.92</v>
      </c>
      <c r="AD44">
        <f t="shared" si="1"/>
        <v>0.64999999999999858</v>
      </c>
      <c r="AE44" s="137">
        <f t="shared" si="2"/>
        <v>-1.5716210148181364E-2</v>
      </c>
    </row>
    <row r="45" spans="1:41" ht="15.75" thickTop="1" x14ac:dyDescent="0.25">
      <c r="A45">
        <v>100</v>
      </c>
      <c r="B45" s="192">
        <v>42798</v>
      </c>
      <c r="C45" s="10">
        <v>1000</v>
      </c>
      <c r="D45" s="199">
        <v>22.424299999999999</v>
      </c>
      <c r="E45" s="40">
        <v>25.57</v>
      </c>
      <c r="F45" s="40">
        <f t="shared" si="15"/>
        <v>3145.7000000000016</v>
      </c>
      <c r="G45" s="40">
        <f t="shared" si="16"/>
        <v>22424.3</v>
      </c>
      <c r="H45" s="231">
        <f t="shared" si="17"/>
        <v>0.14028085603563997</v>
      </c>
      <c r="I45" s="40"/>
      <c r="J45" s="40">
        <v>15696</v>
      </c>
      <c r="N45" s="4"/>
      <c r="O45" s="82">
        <v>1.1000000000000001</v>
      </c>
      <c r="P45" s="82">
        <f>O45*$Q$4</f>
        <v>27.698</v>
      </c>
      <c r="T45" s="92" t="s">
        <v>100</v>
      </c>
      <c r="U45" s="129" t="s">
        <v>648</v>
      </c>
      <c r="W45" s="132">
        <v>42733</v>
      </c>
      <c r="X45" s="10">
        <v>22.58</v>
      </c>
      <c r="Y45" s="10">
        <v>22.8</v>
      </c>
      <c r="Z45" s="10">
        <v>22.15</v>
      </c>
      <c r="AA45" s="10">
        <v>22.27</v>
      </c>
      <c r="AB45" s="94">
        <v>19794500</v>
      </c>
      <c r="AC45" s="10">
        <v>22.27</v>
      </c>
      <c r="AD45">
        <f t="shared" si="1"/>
        <v>0.65000000000000213</v>
      </c>
      <c r="AE45" s="137">
        <f t="shared" si="2"/>
        <v>-2.2388059701492602E-2</v>
      </c>
    </row>
    <row r="46" spans="1:41" x14ac:dyDescent="0.25">
      <c r="A46">
        <v>100</v>
      </c>
      <c r="B46" s="192">
        <v>42803</v>
      </c>
      <c r="C46" s="10">
        <v>1100</v>
      </c>
      <c r="D46" s="199">
        <v>22.663</v>
      </c>
      <c r="E46" s="40">
        <v>25.15</v>
      </c>
      <c r="F46" s="40">
        <f t="shared" ref="F46" si="18">-C46*(D46-E46)</f>
        <v>2735.699999999998</v>
      </c>
      <c r="G46" s="40">
        <f t="shared" ref="G46" si="19">IF(C46=0, 0,D46*C46)</f>
        <v>24929.3</v>
      </c>
      <c r="H46" s="231">
        <f t="shared" ref="H46" si="20">IF(C46=0, D46, (E46-D46)/D46)</f>
        <v>0.1097383400255923</v>
      </c>
      <c r="I46" s="40"/>
      <c r="J46" s="40">
        <v>15286</v>
      </c>
      <c r="N46" s="4"/>
      <c r="O46" s="82">
        <v>1.0900000000000001</v>
      </c>
      <c r="P46" s="82">
        <f t="shared" ref="P46:P65" si="21">O46*$Q$4</f>
        <v>27.446200000000001</v>
      </c>
      <c r="T46" s="92" t="s">
        <v>101</v>
      </c>
      <c r="U46" s="129" t="s">
        <v>649</v>
      </c>
      <c r="W46" s="132">
        <v>42732</v>
      </c>
      <c r="X46" s="10">
        <v>23.4</v>
      </c>
      <c r="Y46" s="10">
        <v>23.41</v>
      </c>
      <c r="Z46" s="10">
        <v>22.76</v>
      </c>
      <c r="AA46" s="10">
        <v>22.78</v>
      </c>
      <c r="AB46" s="94">
        <v>23960700</v>
      </c>
      <c r="AC46" s="10">
        <v>22.78</v>
      </c>
      <c r="AD46">
        <f t="shared" si="1"/>
        <v>0.64999999999999858</v>
      </c>
      <c r="AE46" s="137">
        <f t="shared" si="2"/>
        <v>-2.2317596566523545E-2</v>
      </c>
    </row>
    <row r="47" spans="1:41" x14ac:dyDescent="0.25">
      <c r="A47">
        <v>0</v>
      </c>
      <c r="B47" s="192">
        <v>42804</v>
      </c>
      <c r="C47" s="10">
        <v>1000</v>
      </c>
      <c r="D47" s="199">
        <v>22.371400000000001</v>
      </c>
      <c r="E47" s="40">
        <v>25.18</v>
      </c>
      <c r="F47" s="40">
        <f t="shared" ref="F47" si="22">-C47*(D47-E47)</f>
        <v>2808.5999999999985</v>
      </c>
      <c r="G47" s="40">
        <f t="shared" ref="G47" si="23">IF(C47=0, 0,D47*C47)</f>
        <v>22371.4</v>
      </c>
      <c r="H47" s="231">
        <f t="shared" ref="H47" si="24">IF(C47=0, D47, (E47-D47)/D47)</f>
        <v>0.12554422164012974</v>
      </c>
      <c r="I47" s="40"/>
      <c r="J47" s="40">
        <v>15359</v>
      </c>
      <c r="N47" s="4"/>
      <c r="O47" s="82">
        <v>1.08</v>
      </c>
      <c r="P47" s="82">
        <f t="shared" si="21"/>
        <v>27.194400000000002</v>
      </c>
      <c r="T47" s="92" t="s">
        <v>102</v>
      </c>
      <c r="U47" s="129">
        <v>32</v>
      </c>
      <c r="W47" s="132">
        <v>42731</v>
      </c>
      <c r="X47" s="10">
        <v>23.35</v>
      </c>
      <c r="Y47" s="10">
        <v>23.64</v>
      </c>
      <c r="Z47" s="10">
        <v>23.21</v>
      </c>
      <c r="AA47" s="10">
        <v>23.3</v>
      </c>
      <c r="AB47" s="94">
        <v>24169500</v>
      </c>
      <c r="AC47" s="10">
        <v>23.3</v>
      </c>
      <c r="AD47">
        <f t="shared" si="1"/>
        <v>0.42999999999999972</v>
      </c>
      <c r="AE47" s="137">
        <f t="shared" si="2"/>
        <v>1.7196904557179593E-3</v>
      </c>
    </row>
    <row r="48" spans="1:41" x14ac:dyDescent="0.25">
      <c r="B48" s="192"/>
      <c r="C48" s="10"/>
      <c r="D48" s="199"/>
      <c r="E48" s="40"/>
      <c r="F48" s="40"/>
      <c r="G48" s="40"/>
      <c r="H48" s="231"/>
      <c r="I48" s="40"/>
      <c r="J48" s="40"/>
      <c r="K48" s="3"/>
      <c r="L48" s="4"/>
      <c r="M48" s="4"/>
      <c r="N48" s="4"/>
      <c r="O48" s="82">
        <v>1.07</v>
      </c>
      <c r="P48" s="82">
        <f t="shared" si="21"/>
        <v>26.942600000000002</v>
      </c>
      <c r="T48" s="92" t="s">
        <v>103</v>
      </c>
      <c r="U48" s="129">
        <v>2.1133299999999999</v>
      </c>
      <c r="W48" s="132">
        <v>42727</v>
      </c>
      <c r="X48" s="10">
        <v>23.07</v>
      </c>
      <c r="Y48" s="10">
        <v>23.49</v>
      </c>
      <c r="Z48" s="10">
        <v>23.06</v>
      </c>
      <c r="AA48" s="10">
        <v>23.26</v>
      </c>
      <c r="AB48" s="94">
        <v>27717300</v>
      </c>
      <c r="AC48" s="10">
        <v>23.26</v>
      </c>
      <c r="AD48">
        <f t="shared" si="1"/>
        <v>0.42999999999999972</v>
      </c>
      <c r="AE48" s="137">
        <f t="shared" si="2"/>
        <v>3.0185424752049439E-3</v>
      </c>
    </row>
    <row r="49" spans="2:41" x14ac:dyDescent="0.25">
      <c r="B49" s="192"/>
      <c r="C49" s="10"/>
      <c r="D49" s="199"/>
      <c r="E49" s="40"/>
      <c r="F49" s="40"/>
      <c r="G49" s="40"/>
      <c r="H49" s="231"/>
      <c r="I49" s="40"/>
      <c r="J49" s="40"/>
      <c r="K49" s="3"/>
      <c r="L49" s="4"/>
      <c r="M49" s="4"/>
      <c r="N49" s="4"/>
      <c r="O49" s="82">
        <v>1.06</v>
      </c>
      <c r="P49" s="82">
        <f t="shared" si="21"/>
        <v>26.690799999999999</v>
      </c>
      <c r="T49" s="92" t="s">
        <v>104</v>
      </c>
      <c r="U49" s="129" t="s">
        <v>520</v>
      </c>
      <c r="W49" s="132">
        <v>42726</v>
      </c>
      <c r="X49" s="10">
        <v>22.91</v>
      </c>
      <c r="Y49" s="10">
        <v>23.49</v>
      </c>
      <c r="Z49" s="10">
        <v>22.77</v>
      </c>
      <c r="AA49" s="10">
        <v>23.19</v>
      </c>
      <c r="AB49" s="94">
        <v>85619500</v>
      </c>
      <c r="AC49" s="10">
        <v>23.19</v>
      </c>
      <c r="AD49">
        <f t="shared" si="1"/>
        <v>0.71999999999999886</v>
      </c>
      <c r="AE49" s="137">
        <f t="shared" si="2"/>
        <v>0.12682215743440239</v>
      </c>
    </row>
    <row r="50" spans="2:41" x14ac:dyDescent="0.25">
      <c r="B50" s="192"/>
      <c r="C50" s="10"/>
      <c r="D50" s="199"/>
      <c r="E50" s="40"/>
      <c r="F50" s="40"/>
      <c r="G50" s="40"/>
      <c r="H50" s="231"/>
      <c r="I50" s="40"/>
      <c r="J50" s="40"/>
      <c r="K50" s="3"/>
      <c r="L50" s="4"/>
      <c r="M50" s="4"/>
      <c r="N50" s="4"/>
      <c r="O50" s="82">
        <v>1.05</v>
      </c>
      <c r="P50" s="82">
        <f t="shared" si="21"/>
        <v>26.439</v>
      </c>
      <c r="T50" s="92"/>
      <c r="U50" s="129"/>
      <c r="W50" s="132">
        <v>42725</v>
      </c>
      <c r="X50" s="10">
        <v>20.75</v>
      </c>
      <c r="Y50" s="10">
        <v>20.83</v>
      </c>
      <c r="Z50" s="10">
        <v>20.34</v>
      </c>
      <c r="AA50" s="10">
        <v>20.58</v>
      </c>
      <c r="AB50" s="94">
        <v>29218400</v>
      </c>
      <c r="AC50" s="10">
        <v>20.58</v>
      </c>
      <c r="AD50">
        <f t="shared" si="1"/>
        <v>0.48999999999999844</v>
      </c>
      <c r="AE50" s="137">
        <f t="shared" si="2"/>
        <v>-3.3898305084746339E-3</v>
      </c>
      <c r="AL50" s="233"/>
      <c r="AO50" s="233"/>
    </row>
    <row r="51" spans="2:41" x14ac:dyDescent="0.25">
      <c r="B51" s="192"/>
      <c r="C51" s="10"/>
      <c r="D51" s="199"/>
      <c r="E51" s="40"/>
      <c r="F51" s="40"/>
      <c r="G51" s="40"/>
      <c r="H51" s="231"/>
      <c r="I51" s="40"/>
      <c r="J51" s="40"/>
      <c r="K51" s="3"/>
      <c r="L51" s="4"/>
      <c r="M51" s="4"/>
      <c r="N51" s="4"/>
      <c r="O51" s="82">
        <v>1.04</v>
      </c>
      <c r="P51" s="82">
        <f t="shared" si="21"/>
        <v>26.187200000000001</v>
      </c>
      <c r="T51" s="92" t="s">
        <v>105</v>
      </c>
      <c r="U51" s="129" t="s">
        <v>650</v>
      </c>
      <c r="W51" s="132">
        <v>42724</v>
      </c>
      <c r="X51" s="10">
        <v>20.73</v>
      </c>
      <c r="Y51" s="10">
        <v>20.8</v>
      </c>
      <c r="Z51" s="10">
        <v>20.47</v>
      </c>
      <c r="AA51" s="10">
        <v>20.65</v>
      </c>
      <c r="AB51" s="94">
        <v>22931800</v>
      </c>
      <c r="AC51" s="10">
        <v>20.65</v>
      </c>
      <c r="AD51">
        <f t="shared" si="1"/>
        <v>0.33000000000000185</v>
      </c>
      <c r="AE51" s="137">
        <f t="shared" si="2"/>
        <v>1.4742014742014531E-2</v>
      </c>
    </row>
    <row r="52" spans="2:41" x14ac:dyDescent="0.25">
      <c r="B52" s="192"/>
      <c r="C52" s="10"/>
      <c r="D52" s="199"/>
      <c r="E52" s="40"/>
      <c r="F52" s="40"/>
      <c r="G52" s="40"/>
      <c r="H52" s="231"/>
      <c r="I52" s="40"/>
      <c r="J52" s="40"/>
      <c r="K52" s="3"/>
      <c r="L52" s="4"/>
      <c r="M52" s="4"/>
      <c r="N52" s="4"/>
      <c r="O52" s="82">
        <v>1.03</v>
      </c>
      <c r="P52" s="82">
        <f t="shared" si="21"/>
        <v>25.935400000000001</v>
      </c>
      <c r="T52" s="92" t="s">
        <v>106</v>
      </c>
      <c r="U52" s="129" t="s">
        <v>651</v>
      </c>
      <c r="W52" s="132">
        <v>42723</v>
      </c>
      <c r="X52" s="10">
        <v>20.43</v>
      </c>
      <c r="Y52" s="10">
        <v>20.7</v>
      </c>
      <c r="Z52" s="10">
        <v>20.190000000000001</v>
      </c>
      <c r="AA52" s="10">
        <v>20.350000000000001</v>
      </c>
      <c r="AB52" s="94">
        <v>23512100</v>
      </c>
      <c r="AC52" s="10">
        <v>20.350000000000001</v>
      </c>
      <c r="AD52">
        <f t="shared" si="1"/>
        <v>0.50999999999999801</v>
      </c>
      <c r="AE52" s="137">
        <f t="shared" si="2"/>
        <v>3.9467192895905612E-3</v>
      </c>
    </row>
    <row r="53" spans="2:41" x14ac:dyDescent="0.25">
      <c r="B53" s="192"/>
      <c r="C53" s="10"/>
      <c r="D53" s="199"/>
      <c r="E53" s="40"/>
      <c r="F53" s="40"/>
      <c r="G53" s="40"/>
      <c r="H53" s="231"/>
      <c r="I53" s="40"/>
      <c r="J53" s="40"/>
      <c r="K53" s="3"/>
      <c r="L53" s="4"/>
      <c r="M53" s="4"/>
      <c r="N53" s="4"/>
      <c r="O53" s="82">
        <v>1.02</v>
      </c>
      <c r="P53" s="82">
        <f t="shared" si="21"/>
        <v>25.683599999999998</v>
      </c>
      <c r="T53" s="92" t="s">
        <v>107</v>
      </c>
      <c r="U53" s="130">
        <v>37971610</v>
      </c>
      <c r="W53" s="132">
        <v>42720</v>
      </c>
      <c r="X53" s="10">
        <v>20.53</v>
      </c>
      <c r="Y53" s="10">
        <v>21</v>
      </c>
      <c r="Z53" s="10">
        <v>20.190000000000001</v>
      </c>
      <c r="AA53" s="10">
        <v>20.27</v>
      </c>
      <c r="AB53" s="94">
        <v>36161200</v>
      </c>
      <c r="AC53" s="10">
        <v>20.27</v>
      </c>
      <c r="AD53">
        <f t="shared" si="1"/>
        <v>0.80999999999999872</v>
      </c>
      <c r="AE53" s="137">
        <f t="shared" si="2"/>
        <v>-9.8570724494817519E-4</v>
      </c>
    </row>
    <row r="54" spans="2:41" x14ac:dyDescent="0.25">
      <c r="B54" s="192"/>
      <c r="C54" s="10"/>
      <c r="D54" s="199"/>
      <c r="E54" s="40"/>
      <c r="F54" s="40"/>
      <c r="G54" s="40"/>
      <c r="H54" s="231"/>
      <c r="I54" s="40"/>
      <c r="J54" s="40"/>
      <c r="K54" s="3"/>
      <c r="L54" s="4"/>
      <c r="M54" s="4"/>
      <c r="N54" s="4"/>
      <c r="O54" s="82">
        <v>1.01</v>
      </c>
      <c r="P54" s="82">
        <f t="shared" si="21"/>
        <v>25.431799999999999</v>
      </c>
      <c r="T54" s="92" t="s">
        <v>110</v>
      </c>
      <c r="U54" s="130">
        <v>26382300</v>
      </c>
      <c r="W54" s="132">
        <v>42719</v>
      </c>
      <c r="X54" s="10">
        <v>20.100000000000001</v>
      </c>
      <c r="Y54" s="10">
        <v>20.5</v>
      </c>
      <c r="Z54" s="10">
        <v>19.98</v>
      </c>
      <c r="AA54" s="10">
        <v>20.29</v>
      </c>
      <c r="AB54" s="94">
        <v>19438900</v>
      </c>
      <c r="AC54" s="10">
        <v>20.29</v>
      </c>
      <c r="AD54">
        <f t="shared" si="1"/>
        <v>0.51999999999999957</v>
      </c>
      <c r="AE54" s="137">
        <f t="shared" si="2"/>
        <v>1.3486513486513418E-2</v>
      </c>
      <c r="AL54" s="233"/>
      <c r="AO54" s="233"/>
    </row>
    <row r="55" spans="2:41" x14ac:dyDescent="0.25">
      <c r="B55" s="192"/>
      <c r="C55" s="10"/>
      <c r="D55" s="199"/>
      <c r="E55" s="40"/>
      <c r="F55" s="40"/>
      <c r="G55" s="40"/>
      <c r="H55" s="231"/>
      <c r="I55" s="40"/>
      <c r="J55" s="40"/>
      <c r="K55" s="3"/>
      <c r="L55" s="4"/>
      <c r="M55" s="4"/>
      <c r="N55" s="4"/>
      <c r="O55" s="82">
        <v>1</v>
      </c>
      <c r="P55" s="82">
        <f t="shared" si="21"/>
        <v>25.18</v>
      </c>
      <c r="T55" s="92" t="s">
        <v>108</v>
      </c>
      <c r="U55" s="129" t="s">
        <v>652</v>
      </c>
      <c r="W55" s="132">
        <v>42718</v>
      </c>
      <c r="X55" s="10">
        <v>19.93</v>
      </c>
      <c r="Y55" s="10">
        <v>20.329999999999998</v>
      </c>
      <c r="Z55" s="10">
        <v>19.78</v>
      </c>
      <c r="AA55" s="10">
        <v>20.02</v>
      </c>
      <c r="AB55" s="94">
        <v>19352100</v>
      </c>
      <c r="AC55" s="10">
        <v>20.02</v>
      </c>
      <c r="AD55">
        <f t="shared" si="1"/>
        <v>0.54999999999999716</v>
      </c>
      <c r="AE55" s="137">
        <f t="shared" si="2"/>
        <v>-5.464480874316946E-3</v>
      </c>
    </row>
    <row r="56" spans="2:41" x14ac:dyDescent="0.25">
      <c r="B56" s="192"/>
      <c r="C56" s="10"/>
      <c r="D56" s="199"/>
      <c r="E56" s="40"/>
      <c r="F56" s="40"/>
      <c r="G56" s="40"/>
      <c r="H56" s="231"/>
      <c r="I56" s="40"/>
      <c r="J56" s="40"/>
      <c r="K56" s="3"/>
      <c r="L56" s="4"/>
      <c r="M56" s="4"/>
      <c r="N56" s="4"/>
      <c r="O56" s="82">
        <v>0.99</v>
      </c>
      <c r="P56" s="82">
        <f t="shared" si="21"/>
        <v>24.9282</v>
      </c>
      <c r="T56" s="92" t="s">
        <v>111</v>
      </c>
      <c r="U56" s="129" t="s">
        <v>129</v>
      </c>
      <c r="W56" s="132">
        <v>42717</v>
      </c>
      <c r="X56" s="10">
        <v>20.14</v>
      </c>
      <c r="Y56" s="10">
        <v>20.47</v>
      </c>
      <c r="Z56" s="10">
        <v>19.8</v>
      </c>
      <c r="AA56" s="10">
        <v>20.13</v>
      </c>
      <c r="AB56" s="94">
        <v>26150400</v>
      </c>
      <c r="AC56" s="10">
        <v>20.13</v>
      </c>
      <c r="AD56">
        <f t="shared" si="1"/>
        <v>0.66999999999999815</v>
      </c>
      <c r="AE56" s="137">
        <f t="shared" si="2"/>
        <v>5.494505494505475E-3</v>
      </c>
    </row>
    <row r="57" spans="2:41" x14ac:dyDescent="0.25">
      <c r="B57" s="192"/>
      <c r="C57" s="10"/>
      <c r="D57" s="199"/>
      <c r="E57" s="40"/>
      <c r="F57" s="40"/>
      <c r="G57" s="40"/>
      <c r="H57" s="231"/>
      <c r="I57" s="40"/>
      <c r="J57" s="40"/>
      <c r="K57" s="3"/>
      <c r="L57" s="4"/>
      <c r="M57" s="4"/>
      <c r="N57" s="4"/>
      <c r="O57" s="82">
        <v>0.98</v>
      </c>
      <c r="P57" s="82">
        <f t="shared" si="21"/>
        <v>24.676400000000001</v>
      </c>
      <c r="T57" s="92" t="s">
        <v>112</v>
      </c>
      <c r="U57" s="129">
        <v>-0.3</v>
      </c>
      <c r="W57" s="132">
        <v>42716</v>
      </c>
      <c r="X57" s="10">
        <v>20.3</v>
      </c>
      <c r="Y57" s="10">
        <v>20.51</v>
      </c>
      <c r="Z57" s="10">
        <v>19.489999999999998</v>
      </c>
      <c r="AA57" s="10">
        <v>20.02</v>
      </c>
      <c r="AB57" s="94">
        <v>28649200</v>
      </c>
      <c r="AC57" s="10">
        <v>20.02</v>
      </c>
      <c r="AD57">
        <f t="shared" si="1"/>
        <v>1.0200000000000031</v>
      </c>
      <c r="AE57" s="137">
        <f t="shared" si="2"/>
        <v>-2.3414634146341484E-2</v>
      </c>
    </row>
    <row r="58" spans="2:41" x14ac:dyDescent="0.25">
      <c r="B58" s="192"/>
      <c r="C58" s="10"/>
      <c r="D58" s="199"/>
      <c r="E58" s="40"/>
      <c r="F58" s="40"/>
      <c r="G58" s="40"/>
      <c r="H58" s="231"/>
      <c r="I58" s="40"/>
      <c r="J58" s="40"/>
      <c r="K58" s="3"/>
      <c r="L58" s="4"/>
      <c r="M58" s="4"/>
      <c r="N58" s="4"/>
      <c r="O58" s="82">
        <v>0.97</v>
      </c>
      <c r="P58" s="82">
        <f t="shared" si="21"/>
        <v>24.424599999999998</v>
      </c>
      <c r="T58" s="92" t="s">
        <v>109</v>
      </c>
      <c r="U58" s="129" t="s">
        <v>123</v>
      </c>
      <c r="W58" s="132">
        <v>42713</v>
      </c>
      <c r="X58" s="10">
        <v>20.73</v>
      </c>
      <c r="Y58" s="10">
        <v>20.85</v>
      </c>
      <c r="Z58" s="10">
        <v>20.13</v>
      </c>
      <c r="AA58" s="10">
        <v>20.5</v>
      </c>
      <c r="AB58" s="94">
        <v>23948600</v>
      </c>
      <c r="AC58" s="10">
        <v>20.5</v>
      </c>
      <c r="AD58">
        <f t="shared" si="1"/>
        <v>0.72000000000000242</v>
      </c>
      <c r="AE58" s="137">
        <f t="shared" si="2"/>
        <v>-7.7444336882865894E-3</v>
      </c>
      <c r="AL58" s="233"/>
      <c r="AO58" s="233"/>
    </row>
    <row r="59" spans="2:41" x14ac:dyDescent="0.25">
      <c r="B59" s="192"/>
      <c r="C59" s="10"/>
      <c r="D59" s="199"/>
      <c r="E59" s="40"/>
      <c r="F59" s="40"/>
      <c r="G59" s="40"/>
      <c r="H59" s="231"/>
      <c r="I59" s="40"/>
      <c r="J59" s="40"/>
      <c r="K59" s="3"/>
      <c r="L59" s="4"/>
      <c r="M59" s="4"/>
      <c r="N59" s="4"/>
      <c r="O59" s="82">
        <v>0.96</v>
      </c>
      <c r="P59" s="82">
        <f t="shared" si="21"/>
        <v>24.172799999999999</v>
      </c>
      <c r="W59" s="132">
        <v>42712</v>
      </c>
      <c r="X59" s="10">
        <v>20.75</v>
      </c>
      <c r="Y59" s="10">
        <v>20.99</v>
      </c>
      <c r="Z59" s="10">
        <v>20.29</v>
      </c>
      <c r="AA59" s="10">
        <v>20.66</v>
      </c>
      <c r="AB59" s="94">
        <v>36085400</v>
      </c>
      <c r="AC59" s="10">
        <v>20.66</v>
      </c>
      <c r="AD59">
        <f t="shared" si="1"/>
        <v>0.69999999999999929</v>
      </c>
      <c r="AE59" s="137">
        <f t="shared" si="2"/>
        <v>1.0763209393346296E-2</v>
      </c>
    </row>
    <row r="60" spans="2:41" x14ac:dyDescent="0.25">
      <c r="B60" s="192"/>
      <c r="C60" s="10"/>
      <c r="D60" s="199"/>
      <c r="E60" s="40"/>
      <c r="F60" s="40"/>
      <c r="G60" s="40"/>
      <c r="H60" s="231"/>
      <c r="I60" s="40"/>
      <c r="J60" s="40"/>
      <c r="K60" s="3"/>
      <c r="L60" s="4"/>
      <c r="M60" s="4"/>
      <c r="N60" s="4"/>
      <c r="O60" s="82">
        <v>0.95</v>
      </c>
      <c r="P60" s="82">
        <f t="shared" si="21"/>
        <v>23.920999999999999</v>
      </c>
      <c r="W60" s="132">
        <v>42711</v>
      </c>
      <c r="X60" s="10">
        <v>19.5</v>
      </c>
      <c r="Y60" s="10">
        <v>20.54</v>
      </c>
      <c r="Z60" s="10">
        <v>19.3</v>
      </c>
      <c r="AA60" s="10">
        <v>20.440000000000001</v>
      </c>
      <c r="AB60" s="94">
        <v>44654300</v>
      </c>
      <c r="AC60" s="10">
        <v>20.440000000000001</v>
      </c>
      <c r="AD60">
        <f t="shared" si="1"/>
        <v>1.2399999999999984</v>
      </c>
      <c r="AE60" s="137">
        <f t="shared" si="2"/>
        <v>7.2402938090241564E-2</v>
      </c>
    </row>
    <row r="61" spans="2:41" x14ac:dyDescent="0.25">
      <c r="B61" s="192"/>
      <c r="C61" s="10"/>
      <c r="D61" s="199"/>
      <c r="E61" s="40"/>
      <c r="F61" s="40"/>
      <c r="G61" s="40"/>
      <c r="H61" s="231"/>
      <c r="I61" s="40"/>
      <c r="J61" s="40"/>
      <c r="K61" s="3"/>
      <c r="L61" s="4"/>
      <c r="M61" s="4"/>
      <c r="N61" s="4"/>
      <c r="O61" s="82">
        <v>0.94</v>
      </c>
      <c r="P61" s="82">
        <f t="shared" si="21"/>
        <v>23.6692</v>
      </c>
      <c r="W61" s="132">
        <v>42710</v>
      </c>
      <c r="X61" s="10">
        <v>18.62</v>
      </c>
      <c r="Y61" s="10">
        <v>19.09</v>
      </c>
      <c r="Z61" s="10">
        <v>18.579999999999998</v>
      </c>
      <c r="AA61" s="10">
        <v>19.059999999999999</v>
      </c>
      <c r="AB61" s="94">
        <v>22194400</v>
      </c>
      <c r="AC61" s="10">
        <v>19.059999999999999</v>
      </c>
      <c r="AD61">
        <f t="shared" si="1"/>
        <v>0.51000000000000156</v>
      </c>
      <c r="AE61" s="137">
        <f t="shared" si="2"/>
        <v>2.4180548092423315E-2</v>
      </c>
    </row>
    <row r="62" spans="2:41" x14ac:dyDescent="0.25">
      <c r="B62" s="501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2">
        <v>0.93</v>
      </c>
      <c r="P62" s="82">
        <f t="shared" si="21"/>
        <v>23.417400000000001</v>
      </c>
      <c r="W62" s="132">
        <v>42709</v>
      </c>
      <c r="X62" s="10">
        <v>19</v>
      </c>
      <c r="Y62" s="10">
        <v>19</v>
      </c>
      <c r="Z62" s="10">
        <v>18.399999999999999</v>
      </c>
      <c r="AA62" s="10">
        <v>18.61</v>
      </c>
      <c r="AB62" s="94">
        <v>26579000</v>
      </c>
      <c r="AC62" s="10">
        <v>18.61</v>
      </c>
      <c r="AD62">
        <f t="shared" si="1"/>
        <v>0.60000000000000142</v>
      </c>
      <c r="AE62" s="137">
        <f t="shared" si="2"/>
        <v>-9.5795635976583249E-3</v>
      </c>
    </row>
    <row r="63" spans="2:41" x14ac:dyDescent="0.25">
      <c r="B63" s="501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2">
        <v>0.92</v>
      </c>
      <c r="P63" s="82">
        <f t="shared" si="21"/>
        <v>23.165600000000001</v>
      </c>
      <c r="W63" s="132">
        <v>42706</v>
      </c>
      <c r="X63" s="10">
        <v>18.46</v>
      </c>
      <c r="Y63" s="10">
        <v>19.2</v>
      </c>
      <c r="Z63" s="10">
        <v>18.3</v>
      </c>
      <c r="AA63" s="10">
        <v>18.79</v>
      </c>
      <c r="AB63" s="94">
        <v>25745600</v>
      </c>
      <c r="AC63" s="10">
        <v>18.79</v>
      </c>
      <c r="AD63">
        <f t="shared" si="1"/>
        <v>0.89999999999999858</v>
      </c>
      <c r="AE63" s="137">
        <f t="shared" si="2"/>
        <v>1.6774891774891776E-2</v>
      </c>
    </row>
    <row r="64" spans="2:41" x14ac:dyDescent="0.25">
      <c r="B64" s="501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2">
        <v>0.91</v>
      </c>
      <c r="P64" s="82">
        <f t="shared" si="21"/>
        <v>22.913800000000002</v>
      </c>
      <c r="W64" s="132">
        <v>42705</v>
      </c>
      <c r="X64" s="10">
        <v>19.7</v>
      </c>
      <c r="Y64" s="10">
        <v>19.829999999999998</v>
      </c>
      <c r="Z64" s="10">
        <v>18.18</v>
      </c>
      <c r="AA64" s="10">
        <v>18.48</v>
      </c>
      <c r="AB64" s="94">
        <v>40632200</v>
      </c>
      <c r="AC64" s="10">
        <v>18.48</v>
      </c>
      <c r="AD64">
        <f t="shared" si="1"/>
        <v>1.6499999999999986</v>
      </c>
      <c r="AE64" s="137">
        <f t="shared" si="2"/>
        <v>-5.3763440860215117E-2</v>
      </c>
    </row>
    <row r="65" spans="2:31" x14ac:dyDescent="0.25">
      <c r="B65" s="501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2">
        <v>0.9</v>
      </c>
      <c r="P65" s="82">
        <f t="shared" si="21"/>
        <v>22.661999999999999</v>
      </c>
      <c r="W65" s="132">
        <v>42704</v>
      </c>
      <c r="X65" s="10">
        <v>19.579999999999998</v>
      </c>
      <c r="Y65" s="10">
        <v>19.760000000000002</v>
      </c>
      <c r="Z65" s="10">
        <v>19.36</v>
      </c>
      <c r="AA65" s="10">
        <v>19.53</v>
      </c>
      <c r="AB65" s="94">
        <v>25984900</v>
      </c>
      <c r="AC65" s="10">
        <v>19.53</v>
      </c>
      <c r="AD65">
        <f t="shared" si="1"/>
        <v>0.40000000000000213</v>
      </c>
      <c r="AE65" s="137">
        <f t="shared" si="2"/>
        <v>5.6642636457260309E-3</v>
      </c>
    </row>
    <row r="66" spans="2:31" x14ac:dyDescent="0.25">
      <c r="B66" s="501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2">
        <v>42703</v>
      </c>
      <c r="X66" s="10">
        <v>19.920000000000002</v>
      </c>
      <c r="Y66" s="10">
        <v>20.2</v>
      </c>
      <c r="Z66" s="10">
        <v>19.38</v>
      </c>
      <c r="AA66" s="10">
        <v>19.420000000000002</v>
      </c>
      <c r="AB66" s="94">
        <v>37877200</v>
      </c>
      <c r="AC66" s="10">
        <v>19.420000000000002</v>
      </c>
      <c r="AD66">
        <f t="shared" si="1"/>
        <v>0.82000000000000028</v>
      </c>
      <c r="AE66" s="137">
        <f t="shared" si="2"/>
        <v>-2.8514257128564147E-2</v>
      </c>
    </row>
    <row r="67" spans="2:31" x14ac:dyDescent="0.25">
      <c r="B67" s="501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8"/>
      <c r="W67" s="132">
        <v>42702</v>
      </c>
      <c r="X67" s="10">
        <v>20.18</v>
      </c>
      <c r="Y67" s="10">
        <v>20.28</v>
      </c>
      <c r="Z67" s="10">
        <v>19.95</v>
      </c>
      <c r="AA67" s="10">
        <v>19.989999999999998</v>
      </c>
      <c r="AB67" s="94">
        <v>22166100</v>
      </c>
      <c r="AC67" s="10">
        <v>19.989999999999998</v>
      </c>
      <c r="AD67">
        <f>Y67-Z67</f>
        <v>0.33000000000000185</v>
      </c>
      <c r="AE67" s="137" t="e">
        <f>AC67/AC68-1</f>
        <v>#DIV/0!</v>
      </c>
    </row>
    <row r="68" spans="2:31" x14ac:dyDescent="0.25">
      <c r="B68" s="501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8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7" t="e">
        <f>AC68/AC69-1</f>
        <v>#DIV/0!</v>
      </c>
    </row>
    <row r="69" spans="2:31" x14ac:dyDescent="0.25">
      <c r="B69" s="501"/>
      <c r="C69" s="4"/>
      <c r="D69" s="3"/>
      <c r="E69" s="3"/>
      <c r="F69" s="3"/>
      <c r="G69" s="73"/>
      <c r="H69" s="184"/>
      <c r="I69" s="3"/>
      <c r="J69" s="3"/>
      <c r="K69" s="3"/>
      <c r="L69" s="4"/>
      <c r="M69" s="4"/>
      <c r="N69" s="4"/>
      <c r="O69" s="428"/>
      <c r="P69" s="428"/>
      <c r="Q69" s="428"/>
      <c r="R69" s="428"/>
      <c r="S69" s="428"/>
      <c r="T69" s="428"/>
      <c r="U69" s="429"/>
    </row>
    <row r="70" spans="2:31" x14ac:dyDescent="0.25">
      <c r="B70" s="594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  <c r="O70" s="4"/>
      <c r="P70" s="4"/>
      <c r="Q70" s="4"/>
      <c r="R70" s="4"/>
      <c r="S70" s="4"/>
      <c r="T70" s="4"/>
      <c r="U70" s="232"/>
    </row>
    <row r="71" spans="2:31" x14ac:dyDescent="0.25">
      <c r="B71" s="594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  <c r="O71" s="4"/>
      <c r="P71" s="4"/>
      <c r="Q71" s="4"/>
      <c r="R71" s="4"/>
      <c r="S71" s="4"/>
      <c r="T71" s="4"/>
      <c r="U71" s="232"/>
    </row>
    <row r="72" spans="2:31" x14ac:dyDescent="0.25">
      <c r="B72" s="594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  <c r="O72" s="4"/>
      <c r="P72" s="4"/>
      <c r="Q72" s="4"/>
      <c r="R72" s="4"/>
      <c r="S72" s="4"/>
      <c r="T72" s="4"/>
      <c r="U72" s="232"/>
    </row>
    <row r="73" spans="2:31" x14ac:dyDescent="0.25">
      <c r="B73" s="501"/>
      <c r="C73" s="4"/>
      <c r="D73" s="3"/>
      <c r="E73" s="3"/>
      <c r="F73" s="3"/>
      <c r="G73" s="4"/>
      <c r="H73" s="4"/>
      <c r="I73" s="3"/>
      <c r="J73" s="3"/>
      <c r="K73" s="3"/>
      <c r="L73" s="4"/>
      <c r="M73" s="4"/>
      <c r="N73" s="4"/>
      <c r="O73" s="4"/>
      <c r="P73" s="4"/>
      <c r="Q73" s="4"/>
      <c r="R73" s="4"/>
      <c r="S73" s="4"/>
      <c r="T73" s="4"/>
      <c r="U73" s="232"/>
    </row>
    <row r="74" spans="2:31" x14ac:dyDescent="0.25">
      <c r="B74" s="501"/>
      <c r="C74" s="4"/>
      <c r="D74" s="3"/>
      <c r="E74" s="3"/>
      <c r="F74" s="3"/>
      <c r="G74" s="4"/>
      <c r="H74" s="4"/>
      <c r="I74" s="3"/>
      <c r="J74" s="3"/>
      <c r="K74" s="3"/>
      <c r="L74" s="4"/>
      <c r="M74" s="4"/>
      <c r="N74" s="4"/>
      <c r="O74" s="4"/>
      <c r="P74" s="4"/>
      <c r="Q74" s="4"/>
      <c r="R74" s="4"/>
      <c r="S74" s="4"/>
      <c r="T74" s="4"/>
      <c r="U74" s="232"/>
    </row>
    <row r="75" spans="2:31" x14ac:dyDescent="0.25">
      <c r="B75" s="501"/>
      <c r="C75" s="4"/>
      <c r="D75" s="3"/>
      <c r="E75" s="3"/>
      <c r="F75" s="3"/>
      <c r="G75" s="4"/>
      <c r="H75" s="4"/>
      <c r="I75" s="3"/>
      <c r="J75" s="3"/>
      <c r="K75" s="3"/>
      <c r="L75" s="4"/>
      <c r="M75" s="4"/>
      <c r="N75" s="4"/>
      <c r="O75" s="4"/>
      <c r="P75" s="4"/>
      <c r="Q75" s="4"/>
      <c r="R75" s="4"/>
      <c r="S75" s="4"/>
      <c r="T75" s="4"/>
      <c r="U75" s="430"/>
    </row>
    <row r="76" spans="2:31" x14ac:dyDescent="0.25">
      <c r="B76" s="501"/>
      <c r="C76" s="4"/>
      <c r="D76" s="3"/>
      <c r="E76" s="3"/>
      <c r="F76" s="3"/>
      <c r="G76" s="4"/>
      <c r="H76" s="4"/>
      <c r="I76" s="3"/>
      <c r="J76" s="3"/>
      <c r="K76" s="3"/>
      <c r="L76" s="4"/>
      <c r="M76" s="3"/>
      <c r="N76" s="4"/>
      <c r="O76" s="4"/>
      <c r="P76" s="4"/>
      <c r="Q76" s="4"/>
      <c r="R76" s="4"/>
      <c r="S76" s="4"/>
      <c r="T76" s="4"/>
      <c r="U76" s="108"/>
    </row>
    <row r="77" spans="2:31" x14ac:dyDescent="0.25">
      <c r="B77" s="501"/>
      <c r="C77" s="4"/>
      <c r="D77" s="3"/>
      <c r="E77" s="3"/>
      <c r="F77" s="3"/>
      <c r="G77" s="4"/>
      <c r="H77" s="4"/>
      <c r="I77" s="3"/>
      <c r="J77" s="3"/>
      <c r="K77" s="3"/>
      <c r="L77" s="4"/>
      <c r="M77" s="3"/>
      <c r="N77" s="4"/>
      <c r="O77" s="428"/>
      <c r="P77" s="4"/>
      <c r="Q77" s="4"/>
      <c r="R77" s="4"/>
      <c r="S77" s="4"/>
      <c r="T77" s="4"/>
      <c r="U77" s="108"/>
    </row>
    <row r="78" spans="2:31" x14ac:dyDescent="0.25">
      <c r="B78" s="594"/>
      <c r="C78" s="4"/>
      <c r="D78" s="4"/>
      <c r="E78" s="3"/>
      <c r="F78" s="3"/>
      <c r="G78" s="4"/>
      <c r="H78" s="4"/>
      <c r="I78" s="3"/>
      <c r="J78" s="3"/>
      <c r="K78" s="3"/>
      <c r="L78" s="4"/>
      <c r="M78" s="4"/>
      <c r="N78" s="4"/>
      <c r="O78" s="428"/>
      <c r="P78" s="428"/>
      <c r="Q78" s="428"/>
      <c r="R78" s="428"/>
      <c r="S78" s="428"/>
      <c r="T78" s="428"/>
      <c r="U78" s="429"/>
    </row>
    <row r="79" spans="2:31" x14ac:dyDescent="0.25">
      <c r="B79" s="594"/>
      <c r="C79" s="4"/>
      <c r="D79" s="4"/>
      <c r="E79" s="3"/>
      <c r="F79" s="3"/>
      <c r="G79" s="4"/>
      <c r="H79" s="4"/>
      <c r="I79" s="3"/>
      <c r="J79" s="3"/>
      <c r="K79" s="3"/>
      <c r="L79" s="4"/>
      <c r="M79" s="4"/>
      <c r="N79" s="4"/>
      <c r="O79" s="4"/>
      <c r="P79" s="4"/>
      <c r="Q79" s="4"/>
      <c r="R79" s="4"/>
      <c r="S79" s="4"/>
      <c r="T79" s="4"/>
      <c r="U79" s="232"/>
    </row>
    <row r="80" spans="2:31" x14ac:dyDescent="0.25">
      <c r="B80" s="594"/>
      <c r="C80" s="4"/>
      <c r="D80" s="4"/>
      <c r="E80" s="3"/>
      <c r="F80" s="3"/>
      <c r="G80" s="4"/>
      <c r="H80" s="4"/>
      <c r="I80" s="3"/>
      <c r="J80" s="3"/>
      <c r="K80" s="3"/>
      <c r="L80" s="4"/>
      <c r="M80" s="4"/>
      <c r="N80" s="4"/>
      <c r="O80" s="4"/>
      <c r="P80" s="4"/>
      <c r="Q80" s="4"/>
      <c r="R80" s="4"/>
      <c r="S80" s="4"/>
      <c r="T80" s="4"/>
      <c r="U80" s="232"/>
    </row>
    <row r="81" spans="1:21" x14ac:dyDescent="0.25">
      <c r="B81" s="594"/>
      <c r="C81" s="4"/>
      <c r="D81" s="4"/>
      <c r="E81" s="3"/>
      <c r="F81" s="3"/>
      <c r="G81" s="4"/>
      <c r="H81" s="4"/>
      <c r="I81" s="3"/>
      <c r="J81" s="3"/>
      <c r="K81" s="3"/>
      <c r="L81" s="4"/>
      <c r="M81" s="4"/>
      <c r="N81" s="4"/>
      <c r="O81" s="4"/>
      <c r="P81" s="4"/>
      <c r="Q81" s="4"/>
      <c r="R81" s="4"/>
      <c r="S81" s="4"/>
      <c r="T81" s="4"/>
      <c r="U81" s="430"/>
    </row>
    <row r="82" spans="1:21" x14ac:dyDescent="0.25">
      <c r="B82" s="594"/>
      <c r="C82" s="4"/>
      <c r="D82" s="4"/>
      <c r="E82" s="3"/>
      <c r="F82" s="3"/>
      <c r="G82" s="4"/>
      <c r="H82" s="4"/>
      <c r="I82" s="3"/>
      <c r="J82" s="3"/>
      <c r="K82" s="3"/>
      <c r="L82" s="4"/>
      <c r="M82" s="4"/>
      <c r="N82" s="4"/>
      <c r="O82" s="4"/>
      <c r="P82" s="4"/>
      <c r="Q82" s="4"/>
      <c r="R82" s="4"/>
      <c r="S82" s="4"/>
      <c r="T82" s="4"/>
      <c r="U82" s="108"/>
    </row>
    <row r="83" spans="1:21" x14ac:dyDescent="0.25">
      <c r="B83" s="594"/>
      <c r="C83" s="4"/>
      <c r="D83" s="4"/>
      <c r="E83" s="3"/>
      <c r="F83" s="3"/>
      <c r="G83" s="4"/>
      <c r="H83" s="4"/>
      <c r="I83" s="3"/>
      <c r="J83" s="3"/>
      <c r="K83" s="3"/>
      <c r="L83" s="4"/>
      <c r="M83" s="4"/>
      <c r="N83" s="4"/>
      <c r="O83" s="4"/>
      <c r="P83" s="4"/>
      <c r="Q83" s="4"/>
      <c r="R83" s="4"/>
      <c r="S83" s="4"/>
      <c r="T83" s="4"/>
      <c r="U83" s="108"/>
    </row>
    <row r="84" spans="1:21" x14ac:dyDescent="0.25">
      <c r="B84" s="501"/>
      <c r="C84" s="4"/>
      <c r="D84" s="4"/>
      <c r="E84" s="3"/>
      <c r="F84" s="3"/>
      <c r="G84" s="4"/>
      <c r="H84" s="4"/>
      <c r="I84" s="3"/>
      <c r="J84" s="3"/>
      <c r="K84" s="3"/>
      <c r="L84" s="4"/>
      <c r="M84" s="4"/>
      <c r="N84" s="4"/>
      <c r="O84" s="4"/>
      <c r="P84" s="4"/>
      <c r="Q84" s="4"/>
      <c r="R84" s="4"/>
      <c r="S84" s="4"/>
      <c r="T84" s="4"/>
      <c r="U84" s="108"/>
    </row>
    <row r="85" spans="1:21" x14ac:dyDescent="0.25">
      <c r="B85" s="501"/>
      <c r="C85" s="4"/>
      <c r="D85" s="4"/>
      <c r="E85" s="3"/>
      <c r="F85" s="3"/>
      <c r="G85" s="4"/>
      <c r="H85" s="4"/>
      <c r="I85" s="3"/>
      <c r="J85" s="3"/>
      <c r="K85" s="3"/>
      <c r="L85" s="4"/>
      <c r="M85" s="4"/>
      <c r="N85" s="4"/>
    </row>
    <row r="86" spans="1:21" x14ac:dyDescent="0.25">
      <c r="B86" s="501"/>
      <c r="C86" s="4"/>
      <c r="D86" s="3"/>
      <c r="E86" s="3"/>
      <c r="F86" s="3"/>
      <c r="G86" s="4"/>
      <c r="H86" s="4"/>
      <c r="I86" s="3"/>
      <c r="J86" s="3"/>
      <c r="K86" s="3"/>
      <c r="L86" s="4"/>
      <c r="M86" s="4"/>
      <c r="N86" s="4"/>
    </row>
    <row r="87" spans="1:21" x14ac:dyDescent="0.25">
      <c r="B87" s="501"/>
      <c r="C87" s="4"/>
      <c r="D87" s="3"/>
      <c r="E87" s="3"/>
      <c r="F87" s="3"/>
      <c r="G87" s="4"/>
      <c r="H87" s="4"/>
      <c r="I87" s="3"/>
      <c r="J87" s="3"/>
      <c r="K87" s="3"/>
      <c r="L87" s="4"/>
      <c r="M87" s="4"/>
      <c r="N87" s="4"/>
      <c r="O87" s="1"/>
    </row>
    <row r="88" spans="1:21" x14ac:dyDescent="0.25">
      <c r="B88" s="501"/>
      <c r="C88" s="4"/>
      <c r="D88" s="3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1:21" x14ac:dyDescent="0.25">
      <c r="B89" s="501"/>
      <c r="C89" s="4"/>
      <c r="D89" s="3"/>
      <c r="E89" s="3"/>
      <c r="F89" s="3"/>
      <c r="G89" s="4"/>
      <c r="H89" s="4"/>
      <c r="I89" s="3"/>
      <c r="J89" s="3"/>
      <c r="K89" s="3"/>
      <c r="L89" s="4"/>
      <c r="M89" s="4"/>
      <c r="N89" s="4"/>
    </row>
    <row r="90" spans="1:21" x14ac:dyDescent="0.25">
      <c r="B90" s="501"/>
      <c r="C90" s="4"/>
      <c r="D90" s="3"/>
      <c r="E90" s="3"/>
      <c r="F90" s="3"/>
      <c r="G90" s="4"/>
      <c r="H90" s="4"/>
      <c r="I90" s="3"/>
      <c r="J90" s="3"/>
      <c r="K90" s="3"/>
      <c r="L90" s="4"/>
      <c r="M90" s="4"/>
      <c r="N90" s="4"/>
    </row>
    <row r="91" spans="1:21" x14ac:dyDescent="0.25">
      <c r="B91" s="501"/>
      <c r="C91" s="4"/>
      <c r="D91" s="3"/>
      <c r="E91" s="3"/>
      <c r="F91" s="3"/>
      <c r="G91" s="4"/>
      <c r="H91" s="4"/>
      <c r="I91" s="3"/>
      <c r="J91" s="3"/>
      <c r="K91" s="3"/>
      <c r="L91" s="4"/>
      <c r="M91" s="4"/>
      <c r="N91" s="4"/>
    </row>
    <row r="92" spans="1:21" x14ac:dyDescent="0.25">
      <c r="A92" s="571"/>
      <c r="B92" s="501"/>
      <c r="C92" s="4"/>
      <c r="D92" s="3"/>
      <c r="E92" s="3"/>
      <c r="F92" s="3"/>
      <c r="G92" s="4"/>
      <c r="H92" s="4"/>
      <c r="I92" s="3"/>
      <c r="J92" s="3"/>
      <c r="K92" s="3"/>
      <c r="L92" s="4"/>
      <c r="M92" s="4"/>
      <c r="N92" s="4"/>
    </row>
    <row r="93" spans="1:21" x14ac:dyDescent="0.25">
      <c r="A93" s="571"/>
      <c r="B93" s="501"/>
      <c r="C93" s="4"/>
      <c r="D93" s="3"/>
      <c r="E93" s="3"/>
      <c r="F93" s="3"/>
      <c r="G93" s="4"/>
      <c r="H93" s="4"/>
      <c r="I93" s="3"/>
      <c r="J93" s="3"/>
      <c r="K93" s="3"/>
      <c r="L93" s="4"/>
      <c r="M93" s="4"/>
      <c r="N93" s="4"/>
    </row>
    <row r="94" spans="1:21" x14ac:dyDescent="0.25">
      <c r="A94" s="571"/>
      <c r="B94" s="501"/>
      <c r="C94" s="4"/>
      <c r="D94" s="3"/>
      <c r="E94" s="3"/>
      <c r="F94" s="3"/>
      <c r="G94" s="4"/>
      <c r="H94" s="4"/>
      <c r="I94" s="3"/>
      <c r="J94" s="3"/>
      <c r="K94" s="3"/>
      <c r="L94" s="4"/>
      <c r="M94" s="4"/>
      <c r="N94" s="4"/>
    </row>
    <row r="95" spans="1:21" x14ac:dyDescent="0.25">
      <c r="B95" s="501"/>
      <c r="C95" s="4"/>
      <c r="D95" s="3"/>
      <c r="E95" s="3"/>
      <c r="F95" s="3"/>
      <c r="G95" s="4"/>
      <c r="H95" s="4"/>
      <c r="I95" s="3"/>
      <c r="J95" s="3"/>
      <c r="K95" s="3"/>
      <c r="L95" s="4"/>
      <c r="M95" s="4"/>
      <c r="N95" s="4"/>
    </row>
    <row r="96" spans="1:21" x14ac:dyDescent="0.25">
      <c r="B96" s="501"/>
      <c r="C96" s="4"/>
      <c r="D96" s="3"/>
      <c r="E96" s="3"/>
      <c r="F96" s="3"/>
      <c r="G96" s="4"/>
      <c r="H96" s="4"/>
      <c r="I96" s="3"/>
      <c r="J96" s="3"/>
      <c r="K96" s="3"/>
      <c r="L96" s="4"/>
      <c r="M96" s="4"/>
      <c r="N96" s="4"/>
    </row>
    <row r="97" spans="2:14" x14ac:dyDescent="0.25">
      <c r="B97" s="501"/>
      <c r="C97" s="4"/>
      <c r="D97" s="3"/>
      <c r="E97" s="3"/>
      <c r="F97" s="3"/>
      <c r="G97" s="4"/>
      <c r="H97" s="4"/>
      <c r="I97" s="3"/>
      <c r="J97" s="3"/>
      <c r="K97" s="3"/>
      <c r="L97" s="4"/>
      <c r="M97" s="4"/>
      <c r="N97" s="4"/>
    </row>
    <row r="98" spans="2:14" x14ac:dyDescent="0.25">
      <c r="B98" s="501"/>
      <c r="C98" s="4"/>
      <c r="D98" s="3"/>
      <c r="E98" s="3"/>
      <c r="F98" s="3"/>
      <c r="G98" s="4"/>
      <c r="H98" s="4"/>
      <c r="I98" s="3"/>
      <c r="J98" s="3"/>
      <c r="K98" s="3"/>
      <c r="L98" s="4"/>
      <c r="M98" s="4"/>
      <c r="N98" s="4"/>
    </row>
    <row r="99" spans="2:14" x14ac:dyDescent="0.25">
      <c r="B99" s="501"/>
      <c r="C99" s="4"/>
      <c r="D99" s="3"/>
      <c r="E99" s="3"/>
      <c r="F99" s="3"/>
      <c r="G99" s="4"/>
      <c r="H99" s="4"/>
      <c r="I99" s="3"/>
      <c r="J99" s="3"/>
      <c r="K99" s="3"/>
      <c r="L99" s="4"/>
      <c r="M99" s="4"/>
      <c r="N99" s="4"/>
    </row>
    <row r="100" spans="2:14" x14ac:dyDescent="0.25">
      <c r="B100" s="501"/>
      <c r="C100" s="4"/>
      <c r="D100" s="3"/>
      <c r="E100" s="3"/>
      <c r="F100" s="3"/>
      <c r="G100" s="4"/>
      <c r="H100" s="4"/>
      <c r="I100" s="3"/>
      <c r="J100" s="3"/>
      <c r="K100" s="3"/>
      <c r="L100" s="4"/>
      <c r="M100" s="4"/>
      <c r="N100" s="4"/>
    </row>
    <row r="101" spans="2:14" x14ac:dyDescent="0.25">
      <c r="B101" s="501"/>
      <c r="C101" s="4"/>
      <c r="D101" s="3"/>
      <c r="E101" s="3"/>
      <c r="F101" s="3"/>
      <c r="G101" s="4"/>
      <c r="H101" s="4"/>
      <c r="I101" s="3"/>
      <c r="J101" s="3"/>
      <c r="K101" s="3"/>
      <c r="L101" s="4"/>
      <c r="M101" s="4"/>
      <c r="N101" s="4"/>
    </row>
    <row r="102" spans="2:14" x14ac:dyDescent="0.25">
      <c r="B102" s="501"/>
      <c r="C102" s="4"/>
      <c r="D102" s="3"/>
      <c r="E102" s="3"/>
      <c r="F102" s="3"/>
      <c r="G102" s="4"/>
      <c r="H102" s="4"/>
      <c r="I102" s="3"/>
      <c r="J102" s="3"/>
      <c r="K102" s="3"/>
      <c r="L102" s="4"/>
      <c r="M102" s="4"/>
      <c r="N102" s="4"/>
    </row>
    <row r="103" spans="2:14" x14ac:dyDescent="0.25">
      <c r="B103" s="501"/>
      <c r="C103" s="4"/>
      <c r="D103" s="3"/>
      <c r="E103" s="3"/>
      <c r="F103" s="3"/>
      <c r="G103" s="4"/>
      <c r="H103" s="4"/>
      <c r="I103" s="3"/>
      <c r="J103" s="3"/>
      <c r="K103" s="3"/>
      <c r="L103" s="4"/>
      <c r="M103" s="4"/>
      <c r="N103" s="4"/>
    </row>
    <row r="104" spans="2:14" x14ac:dyDescent="0.25">
      <c r="B104" s="501"/>
      <c r="C104" s="4"/>
      <c r="D104" s="3"/>
      <c r="E104" s="3"/>
      <c r="F104" s="3"/>
      <c r="G104" s="73"/>
      <c r="H104" s="184"/>
      <c r="I104" s="3"/>
      <c r="J104" s="3"/>
      <c r="K104" s="3"/>
      <c r="L104" s="4"/>
      <c r="M104" s="4"/>
      <c r="N104" s="4"/>
    </row>
    <row r="105" spans="2:14" x14ac:dyDescent="0.25">
      <c r="B105" s="501"/>
      <c r="C105" s="4"/>
      <c r="D105" s="3"/>
      <c r="E105" s="3"/>
      <c r="F105" s="3"/>
      <c r="G105" s="73"/>
      <c r="H105" s="184"/>
      <c r="I105" s="3"/>
      <c r="J105" s="3"/>
      <c r="K105" s="3"/>
      <c r="L105" s="4"/>
      <c r="M105" s="4"/>
      <c r="N105" s="4"/>
    </row>
    <row r="106" spans="2:14" x14ac:dyDescent="0.25">
      <c r="B106" s="501"/>
      <c r="C106" s="4"/>
      <c r="D106" s="3"/>
      <c r="E106" s="3"/>
      <c r="F106" s="3"/>
      <c r="G106" s="73"/>
      <c r="H106" s="184"/>
      <c r="I106" s="3"/>
      <c r="J106" s="3"/>
      <c r="K106" s="3"/>
      <c r="L106" s="4"/>
      <c r="M106" s="4"/>
      <c r="N106" s="4"/>
    </row>
    <row r="107" spans="2:14" x14ac:dyDescent="0.25">
      <c r="B107" s="501"/>
      <c r="C107" s="4"/>
      <c r="D107" s="3"/>
      <c r="E107" s="3"/>
      <c r="F107" s="3"/>
      <c r="G107" s="73"/>
      <c r="H107" s="184"/>
      <c r="I107" s="3"/>
      <c r="J107" s="3"/>
      <c r="K107" s="3"/>
      <c r="L107" s="4"/>
      <c r="M107" s="4"/>
      <c r="N107" s="4"/>
    </row>
    <row r="108" spans="2:14" x14ac:dyDescent="0.25">
      <c r="B108" s="501"/>
      <c r="C108" s="4"/>
      <c r="D108" s="3"/>
      <c r="E108" s="3"/>
      <c r="F108" s="3"/>
      <c r="G108" s="73"/>
      <c r="H108" s="184"/>
      <c r="I108" s="3"/>
      <c r="J108" s="3"/>
      <c r="K108" s="3"/>
      <c r="L108" s="4"/>
      <c r="M108" s="4"/>
      <c r="N108" s="4"/>
    </row>
    <row r="109" spans="2:14" x14ac:dyDescent="0.25">
      <c r="B109" s="501"/>
      <c r="C109" s="4"/>
      <c r="D109" s="3"/>
      <c r="E109" s="3"/>
      <c r="F109" s="3"/>
      <c r="G109" s="4"/>
      <c r="H109" s="4"/>
      <c r="I109" s="3"/>
      <c r="J109" s="3"/>
      <c r="K109" s="3"/>
      <c r="L109" s="4"/>
      <c r="M109" s="4"/>
      <c r="N109" s="4"/>
    </row>
    <row r="110" spans="2:14" x14ac:dyDescent="0.25">
      <c r="B110" s="501"/>
      <c r="C110" s="4"/>
      <c r="D110" s="3"/>
      <c r="E110" s="3"/>
      <c r="F110" s="3"/>
      <c r="G110" s="73"/>
      <c r="H110" s="184"/>
      <c r="I110" s="3"/>
      <c r="J110" s="3"/>
      <c r="K110" s="3"/>
      <c r="L110" s="4"/>
      <c r="M110" s="4"/>
      <c r="N110" s="4"/>
    </row>
    <row r="111" spans="2:14" x14ac:dyDescent="0.25">
      <c r="B111" s="501"/>
      <c r="C111" s="4"/>
      <c r="D111" s="3"/>
      <c r="E111" s="3"/>
      <c r="F111" s="3"/>
      <c r="G111" s="73"/>
      <c r="H111" s="184"/>
      <c r="I111" s="3"/>
      <c r="J111" s="3"/>
      <c r="K111" s="3"/>
      <c r="L111" s="4"/>
      <c r="M111" s="4"/>
      <c r="N111" s="4"/>
    </row>
    <row r="112" spans="2:14" x14ac:dyDescent="0.25">
      <c r="B112" s="501"/>
      <c r="C112" s="4"/>
      <c r="D112" s="3"/>
      <c r="E112" s="3"/>
      <c r="F112" s="3"/>
      <c r="G112" s="163"/>
      <c r="H112" s="184"/>
      <c r="I112" s="3"/>
      <c r="J112" s="3"/>
      <c r="K112" s="3"/>
      <c r="L112" s="4"/>
      <c r="M112" s="4"/>
      <c r="N112" s="4"/>
    </row>
    <row r="113" spans="1:14" x14ac:dyDescent="0.25">
      <c r="B113" s="501"/>
      <c r="C113" s="4"/>
      <c r="D113" s="3"/>
      <c r="E113" s="3"/>
      <c r="F113" s="3"/>
      <c r="G113" s="73"/>
      <c r="H113" s="184"/>
      <c r="I113" s="3"/>
      <c r="J113" s="3"/>
      <c r="K113" s="3"/>
      <c r="L113" s="4"/>
      <c r="M113" s="4"/>
      <c r="N113" s="4"/>
    </row>
    <row r="114" spans="1:14" x14ac:dyDescent="0.25">
      <c r="B114" s="501"/>
      <c r="C114" s="4"/>
      <c r="D114" s="3"/>
      <c r="E114" s="3"/>
      <c r="F114" s="3"/>
      <c r="G114" s="73"/>
      <c r="H114" s="184"/>
      <c r="I114" s="3"/>
      <c r="J114" s="3"/>
      <c r="K114" s="3"/>
      <c r="L114" s="4"/>
      <c r="M114" s="4"/>
      <c r="N114" s="4"/>
    </row>
    <row r="115" spans="1:14" x14ac:dyDescent="0.25">
      <c r="B115" s="501"/>
      <c r="C115" s="4"/>
      <c r="D115" s="3"/>
      <c r="E115" s="3"/>
      <c r="F115" s="3"/>
      <c r="G115" s="73"/>
      <c r="H115" s="184"/>
      <c r="I115" s="3"/>
      <c r="J115" s="3"/>
      <c r="K115" s="3"/>
      <c r="L115" s="4"/>
      <c r="M115" s="4"/>
      <c r="N115" s="4"/>
    </row>
    <row r="116" spans="1:14" x14ac:dyDescent="0.25">
      <c r="B116" s="501"/>
      <c r="C116" s="4"/>
      <c r="D116" s="3"/>
      <c r="E116" s="3"/>
      <c r="F116" s="3"/>
      <c r="G116" s="73"/>
      <c r="H116" s="184"/>
      <c r="I116" s="3"/>
      <c r="J116" s="3"/>
      <c r="K116" s="3"/>
      <c r="L116" s="4"/>
      <c r="M116" s="4"/>
      <c r="N116" s="4"/>
    </row>
    <row r="117" spans="1:14" x14ac:dyDescent="0.25">
      <c r="B117" s="501"/>
      <c r="C117" s="4"/>
      <c r="D117" s="3"/>
      <c r="E117" s="3"/>
      <c r="F117" s="3"/>
      <c r="G117" s="73"/>
      <c r="H117" s="184"/>
      <c r="I117" s="3"/>
      <c r="J117" s="3"/>
      <c r="K117" s="3"/>
      <c r="L117" s="4"/>
      <c r="M117" s="4"/>
      <c r="N117" s="4"/>
    </row>
    <row r="118" spans="1:14" x14ac:dyDescent="0.25">
      <c r="B118" s="501"/>
      <c r="C118" s="4"/>
      <c r="D118" s="3"/>
      <c r="E118" s="3"/>
      <c r="F118" s="3"/>
      <c r="G118" s="4"/>
      <c r="H118" s="4"/>
      <c r="I118" s="3"/>
      <c r="J118" s="3"/>
      <c r="K118" s="3"/>
      <c r="L118" s="4"/>
      <c r="M118" s="4"/>
      <c r="N118" s="4"/>
    </row>
    <row r="119" spans="1:14" x14ac:dyDescent="0.25">
      <c r="B119" s="501"/>
      <c r="C119" s="184"/>
      <c r="D119" s="3"/>
      <c r="E119" s="3"/>
      <c r="F119" s="3"/>
      <c r="G119" s="4"/>
      <c r="H119" s="4"/>
      <c r="I119" s="3"/>
      <c r="J119" s="3"/>
      <c r="K119" s="3"/>
      <c r="L119" s="4"/>
      <c r="M119" s="4"/>
      <c r="N119" s="4"/>
    </row>
    <row r="120" spans="1:14" x14ac:dyDescent="0.25">
      <c r="B120" s="501"/>
      <c r="C120" s="4"/>
      <c r="D120" s="3"/>
      <c r="E120" s="3"/>
      <c r="F120" s="3"/>
      <c r="G120" s="73"/>
      <c r="H120" s="184"/>
      <c r="I120" s="3"/>
      <c r="J120" s="3"/>
      <c r="K120" s="3"/>
      <c r="L120" s="4"/>
      <c r="M120" s="4"/>
      <c r="N120" s="4"/>
    </row>
    <row r="121" spans="1:14" x14ac:dyDescent="0.25">
      <c r="B121" s="501"/>
      <c r="C121" s="4"/>
      <c r="D121" s="3"/>
      <c r="E121" s="3"/>
      <c r="F121" s="3"/>
      <c r="G121" s="73"/>
      <c r="H121" s="184"/>
      <c r="I121" s="3"/>
      <c r="J121" s="3"/>
      <c r="K121" s="3"/>
      <c r="L121" s="4"/>
      <c r="M121" s="4"/>
      <c r="N121" s="4"/>
    </row>
    <row r="122" spans="1:14" x14ac:dyDescent="0.25">
      <c r="A122" s="1"/>
      <c r="B122" s="501"/>
      <c r="C122" s="4"/>
      <c r="D122" s="3"/>
      <c r="E122" s="3"/>
      <c r="F122" s="3"/>
      <c r="G122" s="73"/>
      <c r="H122" s="4"/>
      <c r="I122" s="3"/>
      <c r="J122" s="3"/>
      <c r="K122" s="3"/>
      <c r="L122" s="4"/>
      <c r="M122" s="4"/>
      <c r="N122" s="4"/>
    </row>
    <row r="123" spans="1:14" x14ac:dyDescent="0.25">
      <c r="B123" s="501"/>
      <c r="C123" s="4"/>
      <c r="D123" s="3"/>
      <c r="E123" s="3"/>
      <c r="F123" s="3"/>
      <c r="G123" s="73"/>
      <c r="H123" s="4"/>
      <c r="I123" s="3"/>
      <c r="J123" s="3"/>
      <c r="K123" s="3"/>
      <c r="L123" s="4"/>
      <c r="M123" s="4"/>
      <c r="N123" s="4"/>
    </row>
    <row r="124" spans="1:14" x14ac:dyDescent="0.25">
      <c r="B124" s="501"/>
      <c r="C124" s="4"/>
      <c r="D124" s="3"/>
      <c r="E124" s="3"/>
      <c r="F124" s="3"/>
      <c r="G124" s="73"/>
      <c r="H124" s="4"/>
      <c r="I124" s="3"/>
      <c r="J124" s="3"/>
      <c r="K124" s="3"/>
      <c r="L124" s="4"/>
      <c r="M124" s="4"/>
      <c r="N124" s="4"/>
    </row>
    <row r="125" spans="1:14" x14ac:dyDescent="0.25">
      <c r="B125" s="501"/>
      <c r="C125" s="4"/>
      <c r="D125" s="3"/>
      <c r="E125" s="3"/>
      <c r="F125" s="3"/>
      <c r="G125" s="73"/>
      <c r="H125" s="4"/>
      <c r="I125" s="3"/>
      <c r="J125" s="3"/>
      <c r="K125" s="3"/>
      <c r="L125" s="4"/>
      <c r="M125" s="4"/>
      <c r="N125" s="4"/>
    </row>
    <row r="126" spans="1:14" x14ac:dyDescent="0.25">
      <c r="B126" s="501"/>
      <c r="C126" s="4"/>
      <c r="D126" s="3"/>
      <c r="E126" s="3"/>
      <c r="F126" s="3"/>
      <c r="G126" s="73"/>
      <c r="H126" s="4"/>
      <c r="I126" s="3"/>
      <c r="J126" s="3"/>
      <c r="K126" s="3"/>
      <c r="L126" s="4"/>
      <c r="M126" s="710"/>
      <c r="N126" s="4"/>
    </row>
    <row r="127" spans="1:14" x14ac:dyDescent="0.25">
      <c r="B127" s="501"/>
      <c r="C127" s="4"/>
      <c r="D127" s="3"/>
      <c r="E127" s="3"/>
      <c r="F127" s="3"/>
      <c r="G127" s="73"/>
      <c r="H127" s="4"/>
      <c r="I127" s="3"/>
      <c r="J127" s="3"/>
      <c r="K127" s="3"/>
      <c r="L127" s="4"/>
      <c r="M127" s="710"/>
      <c r="N127" s="4"/>
    </row>
    <row r="128" spans="1:14" x14ac:dyDescent="0.25">
      <c r="B128" s="501"/>
      <c r="C128" s="4"/>
      <c r="D128" s="3"/>
      <c r="E128" s="3"/>
      <c r="F128" s="3"/>
      <c r="G128" s="73"/>
      <c r="H128" s="4"/>
      <c r="I128" s="3"/>
      <c r="J128" s="3"/>
      <c r="K128" s="3"/>
      <c r="L128" s="4"/>
      <c r="M128" s="710"/>
      <c r="N128" s="4"/>
    </row>
    <row r="129" spans="2:14" x14ac:dyDescent="0.25">
      <c r="B129" s="501"/>
      <c r="C129" s="4"/>
      <c r="D129" s="3"/>
      <c r="E129" s="3"/>
      <c r="F129" s="3"/>
      <c r="G129" s="73"/>
      <c r="H129" s="4"/>
      <c r="I129" s="3"/>
      <c r="J129" s="3"/>
      <c r="K129" s="3"/>
      <c r="L129" s="4"/>
      <c r="M129" s="710"/>
      <c r="N129" s="4"/>
    </row>
    <row r="130" spans="2:14" x14ac:dyDescent="0.25">
      <c r="B130" s="501"/>
      <c r="C130" s="4"/>
      <c r="D130" s="3"/>
      <c r="E130" s="3"/>
      <c r="F130" s="3"/>
      <c r="G130" s="73"/>
      <c r="H130" s="4"/>
      <c r="I130" s="3"/>
      <c r="J130" s="3"/>
      <c r="K130" s="3"/>
      <c r="L130" s="4"/>
      <c r="M130" s="4"/>
      <c r="N130" s="4"/>
    </row>
    <row r="131" spans="2:14" x14ac:dyDescent="0.25">
      <c r="B131" s="501"/>
      <c r="C131" s="4"/>
      <c r="D131" s="3"/>
      <c r="E131" s="3"/>
      <c r="F131" s="3"/>
      <c r="G131" s="73"/>
      <c r="H131" s="4"/>
      <c r="I131" s="3"/>
      <c r="J131" s="3"/>
      <c r="K131" s="3"/>
      <c r="L131" s="4"/>
      <c r="M131" s="4"/>
      <c r="N131" s="4"/>
    </row>
    <row r="132" spans="2:14" x14ac:dyDescent="0.25">
      <c r="B132" s="501"/>
      <c r="C132" s="4"/>
      <c r="D132" s="3"/>
      <c r="E132" s="3"/>
      <c r="F132" s="3"/>
      <c r="G132" s="73"/>
      <c r="H132" s="4"/>
      <c r="I132" s="3"/>
      <c r="J132" s="3"/>
      <c r="K132" s="3"/>
      <c r="L132" s="4"/>
      <c r="M132" s="4"/>
      <c r="N132" s="4"/>
    </row>
    <row r="133" spans="2:14" x14ac:dyDescent="0.25">
      <c r="B133" s="501"/>
      <c r="C133" s="4"/>
      <c r="D133" s="3"/>
      <c r="E133" s="3"/>
      <c r="F133" s="3"/>
      <c r="G133" s="73"/>
      <c r="H133" s="4"/>
      <c r="I133" s="3"/>
      <c r="J133" s="3"/>
      <c r="K133" s="3"/>
      <c r="L133" s="4"/>
      <c r="M133" s="4"/>
      <c r="N133" s="4"/>
    </row>
    <row r="134" spans="2:14" x14ac:dyDescent="0.25">
      <c r="B134" s="501"/>
      <c r="C134" s="4"/>
      <c r="D134" s="3"/>
      <c r="E134" s="3"/>
      <c r="F134" s="3"/>
      <c r="G134" s="73"/>
      <c r="H134" s="4"/>
      <c r="I134" s="3"/>
      <c r="J134" s="3"/>
      <c r="K134" s="3"/>
      <c r="L134" s="4"/>
      <c r="M134" s="4"/>
      <c r="N134" s="4"/>
    </row>
    <row r="135" spans="2:14" x14ac:dyDescent="0.25">
      <c r="B135" s="501"/>
      <c r="C135" s="4"/>
      <c r="D135" s="3"/>
      <c r="E135" s="3"/>
      <c r="F135" s="3"/>
      <c r="G135" s="73"/>
      <c r="H135" s="184"/>
      <c r="I135" s="3"/>
      <c r="J135" s="3"/>
      <c r="K135" s="3"/>
      <c r="L135" s="4"/>
      <c r="M135" s="4"/>
      <c r="N135" s="4"/>
    </row>
    <row r="136" spans="2:14" x14ac:dyDescent="0.25">
      <c r="B136" s="501"/>
      <c r="C136" s="4"/>
      <c r="D136" s="3"/>
      <c r="E136" s="3"/>
      <c r="F136" s="3"/>
      <c r="G136" s="73"/>
      <c r="H136" s="4"/>
      <c r="I136" s="3"/>
      <c r="J136" s="3"/>
      <c r="K136" s="3"/>
      <c r="L136" s="4"/>
      <c r="M136" s="4"/>
      <c r="N136" s="4"/>
    </row>
    <row r="137" spans="2:14" x14ac:dyDescent="0.25">
      <c r="B137" s="501"/>
      <c r="C137" s="4"/>
      <c r="D137" s="3"/>
      <c r="E137" s="3"/>
      <c r="F137" s="3"/>
      <c r="G137" s="73"/>
      <c r="H137" s="4"/>
      <c r="I137" s="3"/>
      <c r="J137" s="3"/>
      <c r="K137" s="3"/>
      <c r="L137" s="4"/>
      <c r="M137" s="4"/>
      <c r="N137" s="4"/>
    </row>
    <row r="138" spans="2:14" x14ac:dyDescent="0.25">
      <c r="B138" s="501"/>
      <c r="C138" s="4"/>
      <c r="D138" s="3"/>
      <c r="E138" s="3"/>
      <c r="F138" s="3"/>
      <c r="G138" s="73"/>
      <c r="H138" s="4"/>
      <c r="I138" s="3"/>
      <c r="J138" s="3"/>
      <c r="K138" s="3"/>
      <c r="L138" s="4"/>
      <c r="M138" s="4"/>
      <c r="N138" s="4"/>
    </row>
    <row r="139" spans="2:14" x14ac:dyDescent="0.25">
      <c r="B139" s="501"/>
      <c r="C139" s="4"/>
      <c r="D139" s="3"/>
      <c r="E139" s="3"/>
      <c r="F139" s="3"/>
      <c r="G139" s="73"/>
      <c r="H139" s="4"/>
      <c r="I139" s="3"/>
      <c r="J139" s="3"/>
      <c r="K139" s="3"/>
      <c r="L139" s="4"/>
      <c r="M139" s="4"/>
      <c r="N139" s="4"/>
    </row>
    <row r="140" spans="2:14" x14ac:dyDescent="0.25">
      <c r="B140" s="501"/>
      <c r="C140" s="4"/>
      <c r="D140" s="3"/>
      <c r="E140" s="3"/>
      <c r="F140" s="3"/>
      <c r="G140" s="73"/>
      <c r="H140" s="4"/>
      <c r="I140" s="3"/>
      <c r="J140" s="3"/>
      <c r="K140" s="3"/>
      <c r="L140" s="4"/>
      <c r="M140" s="4"/>
      <c r="N140" s="4"/>
    </row>
    <row r="141" spans="2:14" x14ac:dyDescent="0.25">
      <c r="B141" s="501"/>
      <c r="C141" s="4"/>
      <c r="D141" s="3"/>
      <c r="E141" s="3"/>
      <c r="F141" s="3"/>
      <c r="G141" s="73"/>
      <c r="H141" s="4"/>
      <c r="I141" s="3"/>
      <c r="J141" s="3"/>
      <c r="K141" s="3"/>
      <c r="L141" s="4"/>
      <c r="M141" s="4"/>
      <c r="N141" s="4"/>
    </row>
    <row r="142" spans="2:14" x14ac:dyDescent="0.25">
      <c r="B142" s="501"/>
      <c r="C142" s="4"/>
      <c r="D142" s="3"/>
      <c r="E142" s="3"/>
      <c r="F142" s="3"/>
      <c r="G142" s="73"/>
      <c r="H142" s="4"/>
      <c r="I142" s="3"/>
      <c r="J142" s="3"/>
      <c r="K142" s="3"/>
      <c r="L142" s="4"/>
      <c r="M142" s="4"/>
      <c r="N142" s="4"/>
    </row>
    <row r="143" spans="2:14" x14ac:dyDescent="0.25">
      <c r="B143" s="501"/>
      <c r="C143" s="4"/>
      <c r="D143" s="3"/>
      <c r="E143" s="3"/>
      <c r="F143" s="3"/>
      <c r="G143" s="73"/>
      <c r="H143" s="4"/>
      <c r="I143" s="3"/>
      <c r="J143" s="3"/>
      <c r="K143" s="3"/>
      <c r="L143" s="4"/>
      <c r="M143" s="4"/>
      <c r="N143" s="4"/>
    </row>
    <row r="144" spans="2:14" x14ac:dyDescent="0.25">
      <c r="G144" s="73"/>
      <c r="H144" s="4"/>
      <c r="I144" s="3"/>
      <c r="J144" s="3"/>
      <c r="K144" s="3"/>
      <c r="L144" s="4"/>
    </row>
    <row r="145" spans="2:12" x14ac:dyDescent="0.25">
      <c r="G145" s="709"/>
      <c r="H145" s="4"/>
      <c r="I145" s="3"/>
      <c r="J145" s="3"/>
      <c r="K145" s="3"/>
      <c r="L145" s="4"/>
    </row>
    <row r="146" spans="2:12" x14ac:dyDescent="0.25">
      <c r="G146" s="709"/>
      <c r="H146" s="4"/>
      <c r="I146" s="3"/>
      <c r="J146" s="3"/>
      <c r="K146" s="3"/>
      <c r="L146" s="4"/>
    </row>
    <row r="147" spans="2:12" x14ac:dyDescent="0.25">
      <c r="G147" s="709"/>
      <c r="H147" s="4"/>
      <c r="I147" s="3"/>
      <c r="J147" s="3"/>
      <c r="K147" s="3"/>
      <c r="L147" s="4"/>
    </row>
    <row r="148" spans="2:12" x14ac:dyDescent="0.25">
      <c r="G148" s="709"/>
      <c r="H148" s="4"/>
      <c r="I148" s="3"/>
      <c r="J148" s="3"/>
      <c r="K148" s="3"/>
      <c r="L148" s="4"/>
    </row>
    <row r="149" spans="2:12" x14ac:dyDescent="0.25">
      <c r="B149" s="30"/>
      <c r="C149" s="4"/>
      <c r="D149" s="3"/>
      <c r="E149" s="3"/>
      <c r="F149" s="3"/>
      <c r="G149" s="73"/>
      <c r="H149" s="4"/>
      <c r="I149" s="3"/>
      <c r="J149" s="3"/>
      <c r="K149" s="3"/>
      <c r="L149" s="4"/>
    </row>
    <row r="150" spans="2:12" x14ac:dyDescent="0.25">
      <c r="B150" s="30"/>
      <c r="G150" s="73"/>
      <c r="H150" s="4"/>
      <c r="I150" s="3"/>
      <c r="J150" s="3"/>
      <c r="K150" s="3"/>
      <c r="L150" s="4"/>
    </row>
    <row r="151" spans="2:12" x14ac:dyDescent="0.25">
      <c r="B151" s="30"/>
      <c r="G151" s="73"/>
      <c r="H151" s="4"/>
      <c r="I151" s="3"/>
      <c r="J151" s="3"/>
      <c r="K151" s="3"/>
      <c r="L151" s="4"/>
    </row>
    <row r="152" spans="2:12" x14ac:dyDescent="0.25">
      <c r="B152" s="30"/>
      <c r="G152" s="73"/>
      <c r="H152" s="4"/>
      <c r="I152" s="3"/>
      <c r="J152" s="3"/>
      <c r="K152" s="3"/>
      <c r="L152" s="4"/>
    </row>
    <row r="153" spans="2:12" x14ac:dyDescent="0.25">
      <c r="B153" s="30"/>
      <c r="H153" s="4"/>
    </row>
    <row r="161" spans="2:10" x14ac:dyDescent="0.25">
      <c r="B161" s="190" t="s">
        <v>114</v>
      </c>
      <c r="C161" s="190" t="s">
        <v>147</v>
      </c>
      <c r="D161" s="191" t="s">
        <v>146</v>
      </c>
      <c r="E161" s="193" t="s">
        <v>148</v>
      </c>
      <c r="F161" s="194" t="s">
        <v>65</v>
      </c>
      <c r="G161" s="228" t="s">
        <v>152</v>
      </c>
      <c r="H161" s="194" t="s">
        <v>88</v>
      </c>
      <c r="I161" s="228" t="s">
        <v>155</v>
      </c>
      <c r="J161" s="228" t="s">
        <v>302</v>
      </c>
    </row>
    <row r="162" spans="2:10" x14ac:dyDescent="0.25">
      <c r="B162" s="551">
        <v>42304</v>
      </c>
      <c r="C162" s="556">
        <v>5100</v>
      </c>
      <c r="D162" s="619">
        <v>17.29</v>
      </c>
      <c r="E162" s="557">
        <v>16.68</v>
      </c>
      <c r="F162" s="557">
        <f t="shared" ref="F162:F199" si="25">-C162*(D162-E162)</f>
        <v>-3110.9999999999973</v>
      </c>
      <c r="G162" s="557">
        <f t="shared" ref="G162:G171" si="26">IF(C162=0, 0,D162*C162)</f>
        <v>88179</v>
      </c>
      <c r="H162" s="620">
        <f t="shared" ref="H162:H176" si="27">IF(C162=0, D162, (E162-D162)/D162)</f>
        <v>-3.5280508964719459E-2</v>
      </c>
      <c r="I162" s="557"/>
      <c r="J162" s="557"/>
    </row>
    <row r="163" spans="2:10" x14ac:dyDescent="0.25">
      <c r="B163" s="551">
        <v>42305</v>
      </c>
      <c r="C163" s="556">
        <v>4900</v>
      </c>
      <c r="D163" s="619">
        <v>17.29</v>
      </c>
      <c r="E163" s="557">
        <v>16.920000000000002</v>
      </c>
      <c r="F163" s="557">
        <f t="shared" si="25"/>
        <v>-1812.9999999999875</v>
      </c>
      <c r="G163" s="557">
        <f t="shared" si="26"/>
        <v>84721</v>
      </c>
      <c r="H163" s="620">
        <f t="shared" si="27"/>
        <v>-2.1399652978600199E-2</v>
      </c>
      <c r="I163" s="557"/>
      <c r="J163" s="557"/>
    </row>
    <row r="164" spans="2:10" x14ac:dyDescent="0.25">
      <c r="B164" s="551">
        <v>42306</v>
      </c>
      <c r="C164" s="556">
        <v>5100</v>
      </c>
      <c r="D164" s="619">
        <v>17.25</v>
      </c>
      <c r="E164" s="557">
        <v>16.21</v>
      </c>
      <c r="F164" s="557">
        <f t="shared" si="25"/>
        <v>-5303.9999999999955</v>
      </c>
      <c r="G164" s="557">
        <f t="shared" si="26"/>
        <v>87975</v>
      </c>
      <c r="H164" s="620">
        <f t="shared" si="27"/>
        <v>-6.0289855072463719E-2</v>
      </c>
      <c r="I164" s="557"/>
      <c r="J164" s="557"/>
    </row>
    <row r="165" spans="2:10" x14ac:dyDescent="0.25">
      <c r="B165" s="551">
        <v>42311</v>
      </c>
      <c r="C165" s="556">
        <v>2710</v>
      </c>
      <c r="D165" s="619">
        <v>16.989999999999998</v>
      </c>
      <c r="E165" s="557">
        <v>17.84</v>
      </c>
      <c r="F165" s="557">
        <f t="shared" si="25"/>
        <v>2303.5000000000036</v>
      </c>
      <c r="G165" s="557">
        <f t="shared" si="26"/>
        <v>46042.899999999994</v>
      </c>
      <c r="H165" s="620">
        <f t="shared" si="27"/>
        <v>5.0029429075927105E-2</v>
      </c>
      <c r="I165" s="557"/>
      <c r="J165" s="557"/>
    </row>
    <row r="166" spans="2:10" x14ac:dyDescent="0.25">
      <c r="B166" s="551">
        <v>42312</v>
      </c>
      <c r="C166" s="556">
        <v>2902</v>
      </c>
      <c r="D166" s="619">
        <v>16.989999999999998</v>
      </c>
      <c r="E166" s="557">
        <v>17.440000000000001</v>
      </c>
      <c r="F166" s="557">
        <f t="shared" si="25"/>
        <v>1305.9000000000083</v>
      </c>
      <c r="G166" s="557">
        <f t="shared" si="26"/>
        <v>49304.979999999996</v>
      </c>
      <c r="H166" s="620">
        <f t="shared" si="27"/>
        <v>2.6486168334314473E-2</v>
      </c>
      <c r="I166" s="557"/>
      <c r="J166" s="557"/>
    </row>
    <row r="167" spans="2:10" x14ac:dyDescent="0.25">
      <c r="B167" s="551">
        <v>42313</v>
      </c>
      <c r="C167" s="556">
        <v>5710</v>
      </c>
      <c r="D167" s="619">
        <v>16.91</v>
      </c>
      <c r="E167" s="557">
        <v>16.510000000000002</v>
      </c>
      <c r="F167" s="557">
        <f t="shared" si="25"/>
        <v>-2283.9999999999918</v>
      </c>
      <c r="G167" s="557">
        <f t="shared" si="26"/>
        <v>96556.1</v>
      </c>
      <c r="H167" s="620">
        <f t="shared" si="27"/>
        <v>-2.3654642223536283E-2</v>
      </c>
      <c r="I167" s="557"/>
      <c r="J167" s="557"/>
    </row>
    <row r="168" spans="2:10" x14ac:dyDescent="0.25">
      <c r="B168" s="551">
        <v>42314</v>
      </c>
      <c r="C168" s="556">
        <v>4710</v>
      </c>
      <c r="D168" s="619">
        <v>16.95</v>
      </c>
      <c r="E168" s="557">
        <v>16.45</v>
      </c>
      <c r="F168" s="557">
        <f t="shared" si="25"/>
        <v>-2355</v>
      </c>
      <c r="G168" s="557">
        <f t="shared" si="26"/>
        <v>79834.5</v>
      </c>
      <c r="H168" s="620">
        <f t="shared" si="27"/>
        <v>-2.9498525073746312E-2</v>
      </c>
      <c r="I168" s="557"/>
      <c r="J168" s="557"/>
    </row>
    <row r="169" spans="2:10" x14ac:dyDescent="0.25">
      <c r="B169" s="551">
        <v>42317</v>
      </c>
      <c r="C169" s="556">
        <v>5060</v>
      </c>
      <c r="D169" s="619">
        <v>16.87</v>
      </c>
      <c r="E169" s="557">
        <v>15.84</v>
      </c>
      <c r="F169" s="557">
        <f t="shared" si="25"/>
        <v>-5211.8000000000056</v>
      </c>
      <c r="G169" s="557">
        <f t="shared" si="26"/>
        <v>85362.200000000012</v>
      </c>
      <c r="H169" s="620">
        <f t="shared" si="27"/>
        <v>-6.1055127445169E-2</v>
      </c>
      <c r="I169" s="557"/>
      <c r="J169" s="557"/>
    </row>
    <row r="170" spans="2:10" x14ac:dyDescent="0.25">
      <c r="B170" s="551">
        <v>42324</v>
      </c>
      <c r="C170" s="556">
        <v>6000</v>
      </c>
      <c r="D170" s="619">
        <v>16.54</v>
      </c>
      <c r="E170" s="557">
        <v>14.89</v>
      </c>
      <c r="F170" s="557">
        <f t="shared" si="25"/>
        <v>-9899.9999999999909</v>
      </c>
      <c r="G170" s="557">
        <f t="shared" si="26"/>
        <v>99240</v>
      </c>
      <c r="H170" s="620">
        <f t="shared" si="27"/>
        <v>-9.9758162031438849E-2</v>
      </c>
      <c r="I170" s="557"/>
      <c r="J170" s="557"/>
    </row>
    <row r="171" spans="2:10" x14ac:dyDescent="0.25">
      <c r="B171" s="551">
        <v>42325</v>
      </c>
      <c r="C171" s="556">
        <v>5060</v>
      </c>
      <c r="D171" s="619">
        <v>16.73</v>
      </c>
      <c r="E171" s="557">
        <v>15.28</v>
      </c>
      <c r="F171" s="557">
        <f t="shared" si="25"/>
        <v>-7337.0000000000055</v>
      </c>
      <c r="G171" s="557">
        <f t="shared" si="26"/>
        <v>84653.8</v>
      </c>
      <c r="H171" s="620">
        <f t="shared" si="27"/>
        <v>-8.6670651524208067E-2</v>
      </c>
      <c r="I171" s="557"/>
      <c r="J171" s="557"/>
    </row>
    <row r="172" spans="2:10" x14ac:dyDescent="0.25">
      <c r="B172" s="551">
        <v>42328</v>
      </c>
      <c r="C172" s="556">
        <v>6000</v>
      </c>
      <c r="D172" s="619">
        <v>16.52</v>
      </c>
      <c r="E172" s="557">
        <v>15.39</v>
      </c>
      <c r="F172" s="557">
        <f t="shared" si="25"/>
        <v>-6779.9999999999936</v>
      </c>
      <c r="G172" s="557">
        <f t="shared" ref="G172:G199" si="28">IF(C172=0, 0,D172*C172)</f>
        <v>99120</v>
      </c>
      <c r="H172" s="620">
        <f t="shared" si="27"/>
        <v>-6.8401937046004779E-2</v>
      </c>
      <c r="I172" s="557"/>
      <c r="J172" s="557"/>
    </row>
    <row r="173" spans="2:10" x14ac:dyDescent="0.25">
      <c r="B173" s="551">
        <v>42331</v>
      </c>
      <c r="C173" s="556">
        <v>5060</v>
      </c>
      <c r="D173" s="619">
        <v>16.68</v>
      </c>
      <c r="E173" s="557">
        <v>15.32</v>
      </c>
      <c r="F173" s="557">
        <f t="shared" si="25"/>
        <v>-6881.5999999999967</v>
      </c>
      <c r="G173" s="557">
        <f t="shared" si="28"/>
        <v>84400.8</v>
      </c>
      <c r="H173" s="620">
        <f t="shared" si="27"/>
        <v>-8.1534772182254162E-2</v>
      </c>
      <c r="I173" s="557"/>
      <c r="J173" s="557"/>
    </row>
    <row r="174" spans="2:10" x14ac:dyDescent="0.25">
      <c r="B174" s="551">
        <v>42338</v>
      </c>
      <c r="C174" s="556">
        <v>4710</v>
      </c>
      <c r="D174" s="619">
        <v>16.73</v>
      </c>
      <c r="E174" s="557">
        <v>15.93</v>
      </c>
      <c r="F174" s="557">
        <f t="shared" si="25"/>
        <v>-3768.0000000000032</v>
      </c>
      <c r="G174" s="557">
        <f t="shared" si="28"/>
        <v>78798.3</v>
      </c>
      <c r="H174" s="620">
        <f t="shared" si="27"/>
        <v>-4.7818290496114808E-2</v>
      </c>
      <c r="I174" s="557"/>
      <c r="J174" s="557"/>
    </row>
    <row r="175" spans="2:10" x14ac:dyDescent="0.25">
      <c r="B175" s="551">
        <v>42340</v>
      </c>
      <c r="C175" s="556">
        <v>5060</v>
      </c>
      <c r="D175" s="619">
        <v>16.670000000000002</v>
      </c>
      <c r="E175" s="557">
        <v>15.82</v>
      </c>
      <c r="F175" s="557">
        <f t="shared" si="25"/>
        <v>-4301.0000000000073</v>
      </c>
      <c r="G175" s="557">
        <f t="shared" si="28"/>
        <v>84350.200000000012</v>
      </c>
      <c r="H175" s="620">
        <f t="shared" si="27"/>
        <v>-5.0989802039592164E-2</v>
      </c>
      <c r="I175" s="557"/>
      <c r="J175" s="557"/>
    </row>
    <row r="176" spans="2:10" x14ac:dyDescent="0.25">
      <c r="B176" s="551">
        <v>42341</v>
      </c>
      <c r="C176" s="556">
        <v>5060</v>
      </c>
      <c r="D176" s="619">
        <v>16.64</v>
      </c>
      <c r="E176" s="557">
        <v>15.61</v>
      </c>
      <c r="F176" s="557">
        <f t="shared" si="25"/>
        <v>-5211.8000000000056</v>
      </c>
      <c r="G176" s="557">
        <f t="shared" si="28"/>
        <v>84198.400000000009</v>
      </c>
      <c r="H176" s="620">
        <f t="shared" si="27"/>
        <v>-6.1899038461538526E-2</v>
      </c>
      <c r="I176" s="557"/>
      <c r="J176" s="557"/>
    </row>
    <row r="177" spans="2:17" x14ac:dyDescent="0.25">
      <c r="B177" s="551">
        <v>42347</v>
      </c>
      <c r="C177" s="556">
        <v>5260</v>
      </c>
      <c r="D177" s="619">
        <v>16.559999999999999</v>
      </c>
      <c r="E177" s="557">
        <v>14.32</v>
      </c>
      <c r="F177" s="557">
        <f t="shared" si="25"/>
        <v>-11782.399999999992</v>
      </c>
      <c r="G177" s="557">
        <f t="shared" si="28"/>
        <v>87105.599999999991</v>
      </c>
      <c r="H177" s="620">
        <f t="shared" ref="H177:H199" si="29">IF(C177=0, D177, (E177-D177)/D177)</f>
        <v>-0.13526570048309169</v>
      </c>
      <c r="I177" s="557"/>
      <c r="J177" s="557"/>
    </row>
    <row r="178" spans="2:17" x14ac:dyDescent="0.25">
      <c r="B178" s="551">
        <v>42348</v>
      </c>
      <c r="C178" s="556">
        <v>5060</v>
      </c>
      <c r="D178" s="619">
        <v>16.63</v>
      </c>
      <c r="E178" s="557">
        <v>14.66</v>
      </c>
      <c r="F178" s="557">
        <f t="shared" si="25"/>
        <v>-9968.1999999999935</v>
      </c>
      <c r="G178" s="557">
        <f t="shared" si="28"/>
        <v>84147.799999999988</v>
      </c>
      <c r="H178" s="620">
        <f t="shared" si="29"/>
        <v>-0.11846061334936855</v>
      </c>
      <c r="I178" s="557"/>
      <c r="J178" s="557"/>
    </row>
    <row r="179" spans="2:17" x14ac:dyDescent="0.25">
      <c r="B179" s="551">
        <v>42349</v>
      </c>
      <c r="C179" s="556">
        <v>5060</v>
      </c>
      <c r="D179" s="619">
        <v>16.62</v>
      </c>
      <c r="E179" s="557">
        <v>14.04</v>
      </c>
      <c r="F179" s="557">
        <f t="shared" si="25"/>
        <v>-13054.80000000001</v>
      </c>
      <c r="G179" s="557">
        <f t="shared" si="28"/>
        <v>84097.200000000012</v>
      </c>
      <c r="H179" s="620">
        <f t="shared" si="29"/>
        <v>-0.15523465703971129</v>
      </c>
      <c r="I179" s="557"/>
      <c r="J179" s="557"/>
    </row>
    <row r="180" spans="2:17" x14ac:dyDescent="0.25">
      <c r="B180" s="551">
        <v>42349</v>
      </c>
      <c r="C180" s="556">
        <v>6000</v>
      </c>
      <c r="D180" s="619">
        <v>16.22</v>
      </c>
      <c r="E180" s="557">
        <v>14.04</v>
      </c>
      <c r="F180" s="557">
        <f t="shared" si="25"/>
        <v>-13079.999999999998</v>
      </c>
      <c r="G180" s="557">
        <f t="shared" si="28"/>
        <v>97320</v>
      </c>
      <c r="H180" s="620">
        <f t="shared" si="29"/>
        <v>-0.13440197287299629</v>
      </c>
      <c r="I180" s="557"/>
      <c r="J180" s="557"/>
    </row>
    <row r="181" spans="2:17" x14ac:dyDescent="0.25">
      <c r="B181" s="551">
        <v>42349</v>
      </c>
      <c r="C181" s="556">
        <v>6200</v>
      </c>
      <c r="D181" s="619">
        <v>16.14</v>
      </c>
      <c r="E181" s="557">
        <v>14.04</v>
      </c>
      <c r="F181" s="557">
        <f t="shared" si="25"/>
        <v>-13020.000000000009</v>
      </c>
      <c r="G181" s="557">
        <f t="shared" si="28"/>
        <v>100068</v>
      </c>
      <c r="H181" s="620">
        <f t="shared" si="29"/>
        <v>-0.13011152416356886</v>
      </c>
      <c r="I181" s="557"/>
      <c r="J181" s="557"/>
    </row>
    <row r="182" spans="2:17" x14ac:dyDescent="0.25">
      <c r="B182" s="551">
        <v>42349</v>
      </c>
      <c r="C182" s="556">
        <v>5721</v>
      </c>
      <c r="D182" s="619">
        <v>16.32</v>
      </c>
      <c r="E182" s="557">
        <v>14.04</v>
      </c>
      <c r="F182" s="557">
        <f t="shared" si="25"/>
        <v>-13043.880000000006</v>
      </c>
      <c r="G182" s="557">
        <f t="shared" si="28"/>
        <v>93366.720000000001</v>
      </c>
      <c r="H182" s="620">
        <f t="shared" si="29"/>
        <v>-0.13970588235294124</v>
      </c>
      <c r="I182" s="557"/>
      <c r="J182" s="557"/>
    </row>
    <row r="183" spans="2:17" x14ac:dyDescent="0.25">
      <c r="B183" s="551">
        <v>42349</v>
      </c>
      <c r="C183" s="556">
        <v>5060</v>
      </c>
      <c r="D183" s="619">
        <v>16.6143</v>
      </c>
      <c r="E183" s="557">
        <v>14.04</v>
      </c>
      <c r="F183" s="557">
        <f t="shared" si="25"/>
        <v>-13025.958000000004</v>
      </c>
      <c r="G183" s="557">
        <f t="shared" si="28"/>
        <v>84068.358000000007</v>
      </c>
      <c r="H183" s="620">
        <f t="shared" si="29"/>
        <v>-0.15494483667683867</v>
      </c>
      <c r="I183" s="557"/>
      <c r="J183" s="557"/>
    </row>
    <row r="184" spans="2:17" x14ac:dyDescent="0.25">
      <c r="B184" s="551">
        <v>42356</v>
      </c>
      <c r="C184" s="556">
        <v>5060</v>
      </c>
      <c r="D184" s="619">
        <v>16.596900000000002</v>
      </c>
      <c r="E184" s="557">
        <v>14.32</v>
      </c>
      <c r="F184" s="557">
        <f t="shared" si="25"/>
        <v>-11521.114000000007</v>
      </c>
      <c r="G184" s="557">
        <f t="shared" si="28"/>
        <v>83980.314000000013</v>
      </c>
      <c r="H184" s="620">
        <f t="shared" si="29"/>
        <v>-0.13718827009863294</v>
      </c>
      <c r="I184" s="557"/>
      <c r="J184" s="557"/>
    </row>
    <row r="185" spans="2:17" x14ac:dyDescent="0.25">
      <c r="B185" s="551">
        <v>42356</v>
      </c>
      <c r="C185" s="556">
        <v>7000</v>
      </c>
      <c r="D185" s="619">
        <v>15.97</v>
      </c>
      <c r="E185" s="557">
        <v>14.34</v>
      </c>
      <c r="F185" s="557">
        <f t="shared" si="25"/>
        <v>-11410.000000000005</v>
      </c>
      <c r="G185" s="557">
        <f t="shared" si="28"/>
        <v>111790</v>
      </c>
      <c r="H185" s="620">
        <f t="shared" si="29"/>
        <v>-0.10206637445209772</v>
      </c>
      <c r="I185" s="557"/>
      <c r="J185" s="557"/>
    </row>
    <row r="186" spans="2:17" x14ac:dyDescent="0.25">
      <c r="B186" s="551">
        <v>42356</v>
      </c>
      <c r="C186" s="556">
        <v>6000</v>
      </c>
      <c r="D186" s="619">
        <v>16.23</v>
      </c>
      <c r="E186" s="557">
        <v>14.36</v>
      </c>
      <c r="F186" s="557">
        <f t="shared" si="25"/>
        <v>-11220.000000000005</v>
      </c>
      <c r="G186" s="557">
        <f t="shared" si="28"/>
        <v>97380</v>
      </c>
      <c r="H186" s="620">
        <f t="shared" si="29"/>
        <v>-0.11521873074553302</v>
      </c>
      <c r="I186" s="557"/>
      <c r="J186" s="557"/>
    </row>
    <row r="187" spans="2:17" x14ac:dyDescent="0.25">
      <c r="B187" s="551">
        <v>42357</v>
      </c>
      <c r="C187" s="556">
        <v>5500</v>
      </c>
      <c r="D187" s="619">
        <v>16.398399999999999</v>
      </c>
      <c r="E187" s="557">
        <v>14.36</v>
      </c>
      <c r="F187" s="557">
        <f t="shared" si="25"/>
        <v>-11211.199999999997</v>
      </c>
      <c r="G187" s="557">
        <f t="shared" si="28"/>
        <v>90191.2</v>
      </c>
      <c r="H187" s="620">
        <f t="shared" si="29"/>
        <v>-0.12430481022538781</v>
      </c>
      <c r="I187" s="557"/>
      <c r="J187" s="557"/>
    </row>
    <row r="188" spans="2:17" x14ac:dyDescent="0.25">
      <c r="B188" s="551">
        <v>42359</v>
      </c>
      <c r="C188" s="556">
        <v>5060</v>
      </c>
      <c r="D188" s="619">
        <v>16.55</v>
      </c>
      <c r="E188" s="557">
        <v>14.64</v>
      </c>
      <c r="F188" s="557">
        <f t="shared" si="25"/>
        <v>-9664.6</v>
      </c>
      <c r="G188" s="557">
        <f t="shared" si="28"/>
        <v>83743</v>
      </c>
      <c r="H188" s="620">
        <f t="shared" si="29"/>
        <v>-0.11540785498489427</v>
      </c>
      <c r="I188" s="557"/>
      <c r="J188" s="557"/>
    </row>
    <row r="189" spans="2:17" x14ac:dyDescent="0.25">
      <c r="B189" s="551">
        <v>42361</v>
      </c>
      <c r="C189" s="556">
        <v>5060</v>
      </c>
      <c r="D189" s="619">
        <v>16.5456</v>
      </c>
      <c r="E189" s="557">
        <v>14.61</v>
      </c>
      <c r="F189" s="557">
        <f t="shared" si="25"/>
        <v>-9794.1360000000041</v>
      </c>
      <c r="G189" s="557">
        <f t="shared" si="28"/>
        <v>83720.736000000004</v>
      </c>
      <c r="H189" s="620">
        <f t="shared" si="29"/>
        <v>-0.11698578474035398</v>
      </c>
      <c r="I189" s="557"/>
      <c r="J189" s="557"/>
    </row>
    <row r="190" spans="2:17" x14ac:dyDescent="0.25">
      <c r="B190" s="551">
        <v>42377</v>
      </c>
      <c r="C190" s="556">
        <v>5260</v>
      </c>
      <c r="D190" s="619">
        <v>16.424099999999999</v>
      </c>
      <c r="E190" s="557">
        <v>13.33</v>
      </c>
      <c r="F190" s="557">
        <f t="shared" si="25"/>
        <v>-16274.965999999995</v>
      </c>
      <c r="G190" s="557">
        <f t="shared" si="28"/>
        <v>86390.766000000003</v>
      </c>
      <c r="H190" s="620">
        <f t="shared" si="29"/>
        <v>-0.18838779598273264</v>
      </c>
      <c r="I190" s="557"/>
      <c r="J190" s="557"/>
    </row>
    <row r="191" spans="2:17" x14ac:dyDescent="0.25">
      <c r="B191" s="551">
        <v>42398</v>
      </c>
      <c r="C191" s="556">
        <v>5000</v>
      </c>
      <c r="D191" s="619">
        <v>16.72</v>
      </c>
      <c r="E191" s="557">
        <v>10.74</v>
      </c>
      <c r="F191" s="557">
        <f t="shared" si="25"/>
        <v>-29899.999999999993</v>
      </c>
      <c r="G191" s="557">
        <f t="shared" si="28"/>
        <v>83600</v>
      </c>
      <c r="H191" s="620">
        <f t="shared" si="29"/>
        <v>-0.35765550239234445</v>
      </c>
      <c r="I191" s="557"/>
      <c r="J191" s="557"/>
      <c r="O191" s="4"/>
      <c r="P191" s="239"/>
      <c r="Q191" s="4"/>
    </row>
    <row r="192" spans="2:17" x14ac:dyDescent="0.25">
      <c r="B192" s="551">
        <v>42401</v>
      </c>
      <c r="C192" s="556">
        <v>5260</v>
      </c>
      <c r="D192" s="619">
        <v>16.419699999999999</v>
      </c>
      <c r="E192" s="557">
        <v>10.96</v>
      </c>
      <c r="F192" s="557">
        <f t="shared" si="25"/>
        <v>-28718.02199999999</v>
      </c>
      <c r="G192" s="557">
        <f t="shared" si="28"/>
        <v>86367.621999999988</v>
      </c>
      <c r="H192" s="620">
        <f t="shared" si="29"/>
        <v>-0.33250912014226802</v>
      </c>
      <c r="I192" s="557"/>
      <c r="J192" s="557"/>
      <c r="O192" s="4"/>
      <c r="P192" s="4"/>
      <c r="Q192" s="4"/>
    </row>
    <row r="193" spans="2:17" x14ac:dyDescent="0.25">
      <c r="B193" s="551">
        <v>42416</v>
      </c>
      <c r="C193" s="556">
        <v>4760</v>
      </c>
      <c r="D193" s="619">
        <v>17.02</v>
      </c>
      <c r="E193" s="557">
        <v>10.65</v>
      </c>
      <c r="F193" s="557">
        <f t="shared" si="25"/>
        <v>-30321.199999999997</v>
      </c>
      <c r="G193" s="557">
        <f t="shared" si="28"/>
        <v>81015.199999999997</v>
      </c>
      <c r="H193" s="620">
        <f t="shared" si="29"/>
        <v>-0.37426556991774379</v>
      </c>
      <c r="I193" s="557"/>
      <c r="J193" s="557"/>
      <c r="O193" s="4"/>
      <c r="P193" s="4"/>
      <c r="Q193" s="4"/>
    </row>
    <row r="194" spans="2:17" x14ac:dyDescent="0.25">
      <c r="B194" s="551">
        <v>42416</v>
      </c>
      <c r="C194" s="556">
        <v>4000</v>
      </c>
      <c r="D194" s="619">
        <v>18.1967</v>
      </c>
      <c r="E194" s="557">
        <v>10.744999999999999</v>
      </c>
      <c r="F194" s="557">
        <f t="shared" si="25"/>
        <v>-29806.800000000003</v>
      </c>
      <c r="G194" s="557">
        <f t="shared" si="28"/>
        <v>72786.8</v>
      </c>
      <c r="H194" s="620">
        <f t="shared" si="29"/>
        <v>-0.40950831744217364</v>
      </c>
      <c r="I194" s="557"/>
      <c r="J194" s="557"/>
    </row>
    <row r="195" spans="2:17" x14ac:dyDescent="0.25">
      <c r="B195" s="551">
        <v>42418</v>
      </c>
      <c r="C195" s="556">
        <v>3600</v>
      </c>
      <c r="D195" s="619">
        <v>18.931999999999999</v>
      </c>
      <c r="E195" s="557">
        <v>10.81</v>
      </c>
      <c r="F195" s="557">
        <f t="shared" si="25"/>
        <v>-29239.199999999993</v>
      </c>
      <c r="G195" s="557">
        <f t="shared" si="28"/>
        <v>68155.199999999997</v>
      </c>
      <c r="H195" s="620">
        <f t="shared" si="29"/>
        <v>-0.42900908514684127</v>
      </c>
      <c r="I195" s="557"/>
      <c r="J195" s="557"/>
    </row>
    <row r="196" spans="2:17" x14ac:dyDescent="0.25">
      <c r="B196" s="551">
        <v>42423</v>
      </c>
      <c r="C196" s="556">
        <v>5260</v>
      </c>
      <c r="D196" s="619">
        <v>16.356200000000001</v>
      </c>
      <c r="E196" s="557">
        <v>10.49</v>
      </c>
      <c r="F196" s="557">
        <f t="shared" si="25"/>
        <v>-30856.212000000007</v>
      </c>
      <c r="G196" s="557">
        <f t="shared" si="28"/>
        <v>86033.612000000008</v>
      </c>
      <c r="H196" s="620">
        <f t="shared" si="29"/>
        <v>-0.35865298785781541</v>
      </c>
      <c r="I196" s="557"/>
      <c r="J196" s="557"/>
    </row>
    <row r="197" spans="2:17" x14ac:dyDescent="0.25">
      <c r="B197" s="551">
        <v>42431</v>
      </c>
      <c r="C197" s="556">
        <v>4760</v>
      </c>
      <c r="D197" s="619">
        <v>16.858899999999998</v>
      </c>
      <c r="E197" s="557">
        <v>11.68</v>
      </c>
      <c r="F197" s="557">
        <f t="shared" si="25"/>
        <v>-24651.563999999995</v>
      </c>
      <c r="G197" s="557">
        <f t="shared" si="28"/>
        <v>80248.363999999987</v>
      </c>
      <c r="H197" s="620">
        <f t="shared" si="29"/>
        <v>-0.30719086061368173</v>
      </c>
      <c r="I197" s="557"/>
      <c r="J197" s="557"/>
    </row>
    <row r="198" spans="2:17" x14ac:dyDescent="0.25">
      <c r="B198" s="551">
        <v>42436</v>
      </c>
      <c r="C198" s="556">
        <v>5290</v>
      </c>
      <c r="D198" s="619">
        <v>16.258900000000001</v>
      </c>
      <c r="E198" s="557">
        <v>11.58</v>
      </c>
      <c r="F198" s="557">
        <f t="shared" si="25"/>
        <v>-24751.381000000001</v>
      </c>
      <c r="G198" s="557">
        <f t="shared" si="28"/>
        <v>86009.581000000006</v>
      </c>
      <c r="H198" s="620">
        <f t="shared" si="29"/>
        <v>-0.28777469570512154</v>
      </c>
      <c r="I198" s="557"/>
      <c r="J198" s="557"/>
    </row>
    <row r="199" spans="2:17" x14ac:dyDescent="0.25">
      <c r="B199" s="551">
        <v>42444</v>
      </c>
      <c r="C199" s="556">
        <v>5290</v>
      </c>
      <c r="D199" s="619">
        <v>16.259</v>
      </c>
      <c r="E199" s="557">
        <v>10.85</v>
      </c>
      <c r="F199" s="557">
        <f t="shared" si="25"/>
        <v>-28613.610000000004</v>
      </c>
      <c r="G199" s="557">
        <f t="shared" si="28"/>
        <v>86010.11</v>
      </c>
      <c r="H199" s="620">
        <f t="shared" si="29"/>
        <v>-0.33267728642597949</v>
      </c>
      <c r="I199" s="557"/>
      <c r="J199" s="557"/>
    </row>
    <row r="200" spans="2:17" x14ac:dyDescent="0.25">
      <c r="B200" s="551">
        <v>42446</v>
      </c>
      <c r="C200" s="556">
        <v>5295</v>
      </c>
      <c r="D200" s="619">
        <v>16.2348</v>
      </c>
      <c r="E200" s="557">
        <v>10.87</v>
      </c>
      <c r="F200" s="557">
        <f t="shared" ref="F200:F238" si="30">-C200*(D200-E200)</f>
        <v>-28406.616000000002</v>
      </c>
      <c r="G200" s="557">
        <f t="shared" ref="G200:G238" si="31">IF(C200=0, 0,D200*C200)</f>
        <v>85963.266000000003</v>
      </c>
      <c r="H200" s="620">
        <f t="shared" ref="H200:H238" si="32">IF(C200=0, D200, (E200-D200)/D200)</f>
        <v>-0.33045063690344201</v>
      </c>
      <c r="I200" s="557"/>
      <c r="J200" s="557"/>
    </row>
    <row r="201" spans="2:17" x14ac:dyDescent="0.25">
      <c r="B201" s="551">
        <v>42447</v>
      </c>
      <c r="C201" s="556">
        <v>5300</v>
      </c>
      <c r="D201" s="619">
        <v>16.211200000000002</v>
      </c>
      <c r="E201" s="557">
        <v>11.07</v>
      </c>
      <c r="F201" s="557">
        <f t="shared" si="30"/>
        <v>-27248.360000000008</v>
      </c>
      <c r="G201" s="557">
        <f t="shared" si="31"/>
        <v>85919.360000000015</v>
      </c>
      <c r="H201" s="620">
        <f t="shared" si="32"/>
        <v>-0.31713876825898152</v>
      </c>
      <c r="I201" s="557"/>
      <c r="J201" s="557"/>
    </row>
    <row r="202" spans="2:17" x14ac:dyDescent="0.25">
      <c r="B202" s="551">
        <v>42447</v>
      </c>
      <c r="C202" s="556">
        <v>5155</v>
      </c>
      <c r="D202" s="619">
        <v>16.352699999999999</v>
      </c>
      <c r="E202" s="557">
        <v>11.14</v>
      </c>
      <c r="F202" s="557">
        <f t="shared" si="30"/>
        <v>-26871.468499999992</v>
      </c>
      <c r="G202" s="557">
        <f t="shared" si="31"/>
        <v>84298.1685</v>
      </c>
      <c r="H202" s="620">
        <f t="shared" si="32"/>
        <v>-0.31876693145474438</v>
      </c>
      <c r="I202" s="557"/>
      <c r="J202" s="557"/>
    </row>
    <row r="203" spans="2:17" x14ac:dyDescent="0.25">
      <c r="B203" s="551">
        <v>42450</v>
      </c>
      <c r="C203" s="556">
        <v>3955</v>
      </c>
      <c r="D203" s="619">
        <v>17.7959</v>
      </c>
      <c r="E203" s="557">
        <v>11.54</v>
      </c>
      <c r="F203" s="557">
        <f t="shared" si="30"/>
        <v>-24742.084500000001</v>
      </c>
      <c r="G203" s="557">
        <f t="shared" si="31"/>
        <v>70382.784499999994</v>
      </c>
      <c r="H203" s="620">
        <f t="shared" si="32"/>
        <v>-0.3515360279614968</v>
      </c>
      <c r="I203" s="557"/>
      <c r="J203" s="557"/>
    </row>
    <row r="204" spans="2:17" x14ac:dyDescent="0.25">
      <c r="B204" s="551">
        <v>42451</v>
      </c>
      <c r="C204" s="556">
        <v>5260</v>
      </c>
      <c r="D204" s="619">
        <v>16.2089</v>
      </c>
      <c r="E204" s="557">
        <v>11.44</v>
      </c>
      <c r="F204" s="557">
        <f t="shared" si="30"/>
        <v>-25084.414000000001</v>
      </c>
      <c r="G204" s="557">
        <f t="shared" si="31"/>
        <v>85258.813999999998</v>
      </c>
      <c r="H204" s="620">
        <f t="shared" si="32"/>
        <v>-0.29421490662537253</v>
      </c>
      <c r="I204" s="621"/>
      <c r="J204" s="621"/>
    </row>
    <row r="205" spans="2:17" x14ac:dyDescent="0.25">
      <c r="B205" s="551">
        <v>42451</v>
      </c>
      <c r="C205" s="556">
        <v>5360</v>
      </c>
      <c r="D205" s="619">
        <v>16.1083</v>
      </c>
      <c r="E205" s="557">
        <v>10.65</v>
      </c>
      <c r="F205" s="557">
        <f t="shared" si="30"/>
        <v>-29256.487999999998</v>
      </c>
      <c r="G205" s="557">
        <f t="shared" si="31"/>
        <v>86340.487999999998</v>
      </c>
      <c r="H205" s="620">
        <f t="shared" si="32"/>
        <v>-0.33885015799308427</v>
      </c>
      <c r="I205" s="621"/>
      <c r="J205" s="621"/>
    </row>
    <row r="206" spans="2:17" x14ac:dyDescent="0.25">
      <c r="B206" s="551">
        <v>42461</v>
      </c>
      <c r="C206" s="556">
        <v>5260</v>
      </c>
      <c r="D206" s="619">
        <v>16.207000000000001</v>
      </c>
      <c r="E206" s="557">
        <v>10.92</v>
      </c>
      <c r="F206" s="557">
        <f t="shared" si="30"/>
        <v>-27809.620000000003</v>
      </c>
      <c r="G206" s="557">
        <f t="shared" si="31"/>
        <v>85248.82</v>
      </c>
      <c r="H206" s="620">
        <f t="shared" si="32"/>
        <v>-0.32621706669957429</v>
      </c>
      <c r="I206" s="557"/>
      <c r="J206" s="557"/>
    </row>
    <row r="207" spans="2:17" x14ac:dyDescent="0.25">
      <c r="B207" s="551">
        <v>42465</v>
      </c>
      <c r="C207" s="556">
        <v>5260</v>
      </c>
      <c r="D207" s="619">
        <v>16.207000000000001</v>
      </c>
      <c r="E207" s="557">
        <v>10.4</v>
      </c>
      <c r="F207" s="557">
        <f t="shared" si="30"/>
        <v>-30544.820000000003</v>
      </c>
      <c r="G207" s="557">
        <f t="shared" si="31"/>
        <v>85248.82</v>
      </c>
      <c r="H207" s="620">
        <f t="shared" si="32"/>
        <v>-0.3583019682853088</v>
      </c>
      <c r="I207" s="557"/>
      <c r="J207" s="557"/>
    </row>
    <row r="208" spans="2:17" x14ac:dyDescent="0.25">
      <c r="B208" s="551">
        <v>42467</v>
      </c>
      <c r="C208" s="556">
        <v>5760</v>
      </c>
      <c r="D208" s="619">
        <v>15.703799999999999</v>
      </c>
      <c r="E208" s="557">
        <v>10.4</v>
      </c>
      <c r="F208" s="557">
        <f t="shared" si="30"/>
        <v>-30549.887999999995</v>
      </c>
      <c r="G208" s="557">
        <f t="shared" si="31"/>
        <v>90453.887999999992</v>
      </c>
      <c r="H208" s="620">
        <f t="shared" si="32"/>
        <v>-0.33773991008545695</v>
      </c>
      <c r="I208" s="557"/>
      <c r="J208" s="557"/>
    </row>
    <row r="209" spans="2:10" x14ac:dyDescent="0.25">
      <c r="B209" s="551">
        <v>42468</v>
      </c>
      <c r="C209" s="556">
        <v>5260</v>
      </c>
      <c r="D209" s="619">
        <v>16.167100000000001</v>
      </c>
      <c r="E209" s="557">
        <v>10.76</v>
      </c>
      <c r="F209" s="557">
        <f t="shared" si="30"/>
        <v>-28441.346000000009</v>
      </c>
      <c r="G209" s="557">
        <f t="shared" si="31"/>
        <v>85038.946000000011</v>
      </c>
      <c r="H209" s="620">
        <f t="shared" si="32"/>
        <v>-0.33445082915303309</v>
      </c>
      <c r="I209" s="621" t="s">
        <v>195</v>
      </c>
      <c r="J209" s="621"/>
    </row>
    <row r="210" spans="2:10" x14ac:dyDescent="0.25">
      <c r="B210" s="551">
        <v>42472</v>
      </c>
      <c r="C210" s="556">
        <v>5860</v>
      </c>
      <c r="D210" s="619">
        <v>15.567399999999999</v>
      </c>
      <c r="E210" s="557">
        <v>10.17</v>
      </c>
      <c r="F210" s="557">
        <f t="shared" si="30"/>
        <v>-31628.763999999996</v>
      </c>
      <c r="G210" s="557">
        <f t="shared" si="31"/>
        <v>91224.963999999993</v>
      </c>
      <c r="H210" s="620">
        <f t="shared" si="32"/>
        <v>-0.34671171807752094</v>
      </c>
      <c r="I210" s="557"/>
      <c r="J210" s="557"/>
    </row>
    <row r="211" spans="2:10" x14ac:dyDescent="0.25">
      <c r="B211" s="551">
        <v>42473</v>
      </c>
      <c r="C211" s="556">
        <v>5260</v>
      </c>
      <c r="D211" s="619">
        <v>16.1158</v>
      </c>
      <c r="E211" s="557">
        <v>10.88</v>
      </c>
      <c r="F211" s="557">
        <f t="shared" si="30"/>
        <v>-27540.307999999997</v>
      </c>
      <c r="G211" s="557">
        <f t="shared" si="31"/>
        <v>84769.108000000007</v>
      </c>
      <c r="H211" s="620">
        <f t="shared" si="32"/>
        <v>-0.32488613658645549</v>
      </c>
      <c r="I211" s="557"/>
      <c r="J211" s="557"/>
    </row>
    <row r="212" spans="2:10" x14ac:dyDescent="0.25">
      <c r="B212" s="551">
        <v>42484</v>
      </c>
      <c r="C212" s="556">
        <v>5260</v>
      </c>
      <c r="D212" s="619">
        <v>16.1158</v>
      </c>
      <c r="E212" s="557">
        <v>10.66</v>
      </c>
      <c r="F212" s="557">
        <f t="shared" si="30"/>
        <v>-28697.508000000002</v>
      </c>
      <c r="G212" s="557">
        <f t="shared" si="31"/>
        <v>84769.108000000007</v>
      </c>
      <c r="H212" s="620">
        <f t="shared" si="32"/>
        <v>-0.33853733603047942</v>
      </c>
      <c r="I212" s="557"/>
      <c r="J212" s="557"/>
    </row>
    <row r="213" spans="2:10" x14ac:dyDescent="0.25">
      <c r="B213" s="551">
        <v>42486</v>
      </c>
      <c r="C213" s="556">
        <v>4260</v>
      </c>
      <c r="D213" s="619">
        <v>17.2287</v>
      </c>
      <c r="E213" s="557">
        <v>11.51</v>
      </c>
      <c r="F213" s="557">
        <f t="shared" si="30"/>
        <v>-24361.662</v>
      </c>
      <c r="G213" s="557">
        <f t="shared" si="31"/>
        <v>73394.262000000002</v>
      </c>
      <c r="H213" s="620">
        <f t="shared" si="32"/>
        <v>-0.33192870036624933</v>
      </c>
      <c r="I213" s="557"/>
      <c r="J213" s="557"/>
    </row>
    <row r="214" spans="2:10" x14ac:dyDescent="0.25">
      <c r="B214" s="551">
        <v>42487</v>
      </c>
      <c r="C214" s="556">
        <v>5260</v>
      </c>
      <c r="D214" s="619">
        <v>16.099699999999999</v>
      </c>
      <c r="E214" s="557">
        <v>11.56</v>
      </c>
      <c r="F214" s="557">
        <f t="shared" si="30"/>
        <v>-23878.821999999989</v>
      </c>
      <c r="G214" s="557">
        <f t="shared" si="31"/>
        <v>84684.421999999991</v>
      </c>
      <c r="H214" s="620">
        <f t="shared" si="32"/>
        <v>-0.28197419827698644</v>
      </c>
      <c r="I214" s="557"/>
      <c r="J214" s="557"/>
    </row>
    <row r="215" spans="2:10" x14ac:dyDescent="0.25">
      <c r="B215" s="551">
        <v>42488</v>
      </c>
      <c r="C215" s="556">
        <v>5260</v>
      </c>
      <c r="D215" s="619">
        <v>16.078399999999998</v>
      </c>
      <c r="E215" s="557">
        <v>11.62</v>
      </c>
      <c r="F215" s="557">
        <f t="shared" si="30"/>
        <v>-23451.183999999997</v>
      </c>
      <c r="G215" s="557">
        <f t="shared" si="31"/>
        <v>84572.383999999991</v>
      </c>
      <c r="H215" s="620">
        <f t="shared" si="32"/>
        <v>-0.27729127276345905</v>
      </c>
      <c r="I215" s="557"/>
      <c r="J215" s="557"/>
    </row>
    <row r="216" spans="2:10" x14ac:dyDescent="0.25">
      <c r="B216" s="551">
        <v>42489</v>
      </c>
      <c r="C216" s="556">
        <v>5500</v>
      </c>
      <c r="D216" s="619">
        <v>15.848599999999999</v>
      </c>
      <c r="E216" s="557">
        <v>10.75</v>
      </c>
      <c r="F216" s="557">
        <f t="shared" si="30"/>
        <v>-28042.299999999996</v>
      </c>
      <c r="G216" s="557">
        <f t="shared" si="31"/>
        <v>87167.3</v>
      </c>
      <c r="H216" s="620">
        <f t="shared" si="32"/>
        <v>-0.32170664916774983</v>
      </c>
      <c r="I216" s="557"/>
      <c r="J216" s="557"/>
    </row>
    <row r="217" spans="2:10" x14ac:dyDescent="0.25">
      <c r="B217" s="551">
        <v>42494</v>
      </c>
      <c r="C217" s="556">
        <v>6500</v>
      </c>
      <c r="D217" s="619">
        <v>14.9526</v>
      </c>
      <c r="E217" s="557">
        <v>10</v>
      </c>
      <c r="F217" s="557">
        <f t="shared" si="30"/>
        <v>-32191.9</v>
      </c>
      <c r="G217" s="557">
        <f t="shared" si="31"/>
        <v>97191.900000000009</v>
      </c>
      <c r="H217" s="620">
        <f t="shared" si="32"/>
        <v>-0.33121998849698381</v>
      </c>
      <c r="I217" s="557"/>
      <c r="J217" s="557"/>
    </row>
    <row r="218" spans="2:10" x14ac:dyDescent="0.25">
      <c r="B218" s="551">
        <v>42495</v>
      </c>
      <c r="C218" s="556">
        <v>5500</v>
      </c>
      <c r="D218" s="619">
        <v>15.7966</v>
      </c>
      <c r="E218" s="557">
        <v>10.06</v>
      </c>
      <c r="F218" s="557">
        <f t="shared" si="30"/>
        <v>-31551.299999999996</v>
      </c>
      <c r="G218" s="557">
        <f t="shared" si="31"/>
        <v>86881.3</v>
      </c>
      <c r="H218" s="620">
        <f t="shared" si="32"/>
        <v>-0.363154096451135</v>
      </c>
      <c r="I218" s="557"/>
      <c r="J218" s="557"/>
    </row>
    <row r="219" spans="2:10" x14ac:dyDescent="0.25">
      <c r="B219" s="551">
        <v>42502</v>
      </c>
      <c r="C219" s="556">
        <v>8500</v>
      </c>
      <c r="D219" s="619">
        <v>13.6378</v>
      </c>
      <c r="E219" s="557">
        <v>9.6199999999999992</v>
      </c>
      <c r="F219" s="557">
        <f t="shared" si="30"/>
        <v>-34151.30000000001</v>
      </c>
      <c r="G219" s="557">
        <f t="shared" si="31"/>
        <v>115921.3</v>
      </c>
      <c r="H219" s="620">
        <f t="shared" si="32"/>
        <v>-0.2946076346624823</v>
      </c>
      <c r="I219" s="557"/>
      <c r="J219" s="557"/>
    </row>
    <row r="220" spans="2:10" x14ac:dyDescent="0.25">
      <c r="B220" s="551">
        <v>42503</v>
      </c>
      <c r="C220" s="556">
        <v>5500</v>
      </c>
      <c r="D220" s="619">
        <v>15.754899999999999</v>
      </c>
      <c r="E220" s="557">
        <v>9.58</v>
      </c>
      <c r="F220" s="557">
        <f t="shared" si="30"/>
        <v>-33961.949999999997</v>
      </c>
      <c r="G220" s="557">
        <f t="shared" si="31"/>
        <v>86651.95</v>
      </c>
      <c r="H220" s="620">
        <f t="shared" si="32"/>
        <v>-0.39193520745926663</v>
      </c>
      <c r="I220" s="557"/>
      <c r="J220" s="557"/>
    </row>
    <row r="221" spans="2:10" x14ac:dyDescent="0.25">
      <c r="B221" s="551">
        <v>42510</v>
      </c>
      <c r="C221" s="622">
        <v>5000</v>
      </c>
      <c r="D221" s="623">
        <v>16.255400000000002</v>
      </c>
      <c r="E221" s="557">
        <v>10.8</v>
      </c>
      <c r="F221" s="557">
        <f t="shared" si="30"/>
        <v>-27277.000000000004</v>
      </c>
      <c r="G221" s="557">
        <f t="shared" si="31"/>
        <v>81277.000000000015</v>
      </c>
      <c r="H221" s="620">
        <f t="shared" si="32"/>
        <v>-0.33560539882131479</v>
      </c>
      <c r="I221" s="557"/>
      <c r="J221" s="557"/>
    </row>
    <row r="222" spans="2:10" x14ac:dyDescent="0.25">
      <c r="B222" s="551">
        <v>42514</v>
      </c>
      <c r="C222" s="556">
        <v>4500</v>
      </c>
      <c r="D222" s="619">
        <v>16.752199999999998</v>
      </c>
      <c r="E222" s="557">
        <v>11.49</v>
      </c>
      <c r="F222" s="557">
        <f t="shared" si="30"/>
        <v>-23679.899999999991</v>
      </c>
      <c r="G222" s="557">
        <f t="shared" si="31"/>
        <v>75384.899999999994</v>
      </c>
      <c r="H222" s="620">
        <f t="shared" si="32"/>
        <v>-0.31411993648595399</v>
      </c>
      <c r="I222" s="557"/>
      <c r="J222" s="557"/>
    </row>
    <row r="223" spans="2:10" x14ac:dyDescent="0.25">
      <c r="B223" s="551">
        <v>42515</v>
      </c>
      <c r="C223" s="556">
        <v>4500</v>
      </c>
      <c r="D223" s="619">
        <v>16.746700000000001</v>
      </c>
      <c r="E223" s="557">
        <v>11.6</v>
      </c>
      <c r="F223" s="557">
        <f t="shared" si="30"/>
        <v>-23160.150000000005</v>
      </c>
      <c r="G223" s="557">
        <f t="shared" si="31"/>
        <v>75360.150000000009</v>
      </c>
      <c r="H223" s="620">
        <f t="shared" si="32"/>
        <v>-0.30732621949398992</v>
      </c>
      <c r="I223" s="557"/>
      <c r="J223" s="557"/>
    </row>
    <row r="224" spans="2:10" x14ac:dyDescent="0.25">
      <c r="B224" s="551">
        <v>42516</v>
      </c>
      <c r="C224" s="556">
        <v>4000</v>
      </c>
      <c r="D224" s="619">
        <v>17.344999999999999</v>
      </c>
      <c r="E224" s="557">
        <v>11.95</v>
      </c>
      <c r="F224" s="557">
        <f t="shared" si="30"/>
        <v>-21580</v>
      </c>
      <c r="G224" s="557">
        <f t="shared" si="31"/>
        <v>69380</v>
      </c>
      <c r="H224" s="620">
        <f t="shared" si="32"/>
        <v>-0.31104064571922746</v>
      </c>
      <c r="I224" s="557"/>
      <c r="J224" s="557"/>
    </row>
    <row r="225" spans="2:10" x14ac:dyDescent="0.25">
      <c r="B225" s="551">
        <v>42517</v>
      </c>
      <c r="C225" s="556">
        <v>4000</v>
      </c>
      <c r="D225" s="619">
        <v>17.322700000000001</v>
      </c>
      <c r="E225" s="557">
        <v>12.31</v>
      </c>
      <c r="F225" s="557">
        <f t="shared" si="30"/>
        <v>-20050.800000000003</v>
      </c>
      <c r="G225" s="557">
        <f t="shared" si="31"/>
        <v>69290.8</v>
      </c>
      <c r="H225" s="620">
        <f t="shared" si="32"/>
        <v>-0.28937174920768705</v>
      </c>
      <c r="I225" s="557"/>
      <c r="J225" s="557"/>
    </row>
    <row r="226" spans="2:10" x14ac:dyDescent="0.25">
      <c r="B226" s="551">
        <v>42522</v>
      </c>
      <c r="C226" s="556">
        <v>3375</v>
      </c>
      <c r="D226" s="619">
        <v>18.078900000000001</v>
      </c>
      <c r="E226" s="557">
        <v>13.09</v>
      </c>
      <c r="F226" s="557">
        <f t="shared" si="30"/>
        <v>-16837.537500000002</v>
      </c>
      <c r="G226" s="557">
        <f t="shared" si="31"/>
        <v>61016.287500000006</v>
      </c>
      <c r="H226" s="620">
        <f t="shared" si="32"/>
        <v>-0.27595152359933406</v>
      </c>
      <c r="I226" s="557"/>
      <c r="J226" s="557"/>
    </row>
    <row r="227" spans="2:10" x14ac:dyDescent="0.25">
      <c r="B227" s="551">
        <v>42524</v>
      </c>
      <c r="C227" s="556">
        <v>4000</v>
      </c>
      <c r="D227" s="619">
        <v>17.229099999999999</v>
      </c>
      <c r="E227" s="557">
        <v>12.86</v>
      </c>
      <c r="F227" s="557">
        <f t="shared" si="30"/>
        <v>-17476.399999999998</v>
      </c>
      <c r="G227" s="557">
        <f t="shared" si="31"/>
        <v>68916.399999999994</v>
      </c>
      <c r="H227" s="620">
        <f t="shared" si="32"/>
        <v>-0.25358840566251284</v>
      </c>
      <c r="I227" s="557"/>
      <c r="J227" s="557"/>
    </row>
    <row r="228" spans="2:10" x14ac:dyDescent="0.25">
      <c r="B228" s="551">
        <v>42530</v>
      </c>
      <c r="C228" s="556">
        <v>4000</v>
      </c>
      <c r="D228" s="619">
        <v>17.184100000000001</v>
      </c>
      <c r="E228" s="557">
        <v>12.51</v>
      </c>
      <c r="F228" s="557">
        <f t="shared" si="30"/>
        <v>-18696.400000000005</v>
      </c>
      <c r="G228" s="557">
        <f t="shared" si="31"/>
        <v>68736.400000000009</v>
      </c>
      <c r="H228" s="620">
        <f t="shared" si="32"/>
        <v>-0.27200144319458108</v>
      </c>
      <c r="I228" s="557"/>
      <c r="J228" s="557"/>
    </row>
    <row r="229" spans="2:10" x14ac:dyDescent="0.25">
      <c r="B229" s="551">
        <v>42532</v>
      </c>
      <c r="C229" s="556">
        <v>4760</v>
      </c>
      <c r="D229" s="619">
        <v>16.386800000000001</v>
      </c>
      <c r="E229" s="557">
        <v>12.14</v>
      </c>
      <c r="F229" s="557">
        <f t="shared" si="30"/>
        <v>-20214.768</v>
      </c>
      <c r="G229" s="557">
        <f t="shared" si="31"/>
        <v>78001.168000000005</v>
      </c>
      <c r="H229" s="620">
        <f t="shared" si="32"/>
        <v>-0.25915981155564233</v>
      </c>
      <c r="I229" s="557"/>
      <c r="J229" s="557"/>
    </row>
    <row r="230" spans="2:10" x14ac:dyDescent="0.25">
      <c r="B230" s="551">
        <v>42535</v>
      </c>
      <c r="C230" s="556">
        <v>4760</v>
      </c>
      <c r="D230" s="619">
        <v>16.387</v>
      </c>
      <c r="E230" s="557">
        <v>11.92</v>
      </c>
      <c r="F230" s="557">
        <f t="shared" si="30"/>
        <v>-21262.920000000002</v>
      </c>
      <c r="G230" s="557">
        <f t="shared" si="31"/>
        <v>78002.12</v>
      </c>
      <c r="H230" s="620">
        <f t="shared" si="32"/>
        <v>-0.27259412949289075</v>
      </c>
      <c r="I230" s="557"/>
      <c r="J230" s="557"/>
    </row>
    <row r="231" spans="2:10" x14ac:dyDescent="0.25">
      <c r="B231" s="551">
        <v>42537</v>
      </c>
      <c r="C231" s="556">
        <v>4760</v>
      </c>
      <c r="D231" s="619">
        <v>16.361599999999999</v>
      </c>
      <c r="E231" s="557">
        <v>11.95</v>
      </c>
      <c r="F231" s="557">
        <f t="shared" si="30"/>
        <v>-20999.216</v>
      </c>
      <c r="G231" s="557">
        <f t="shared" si="31"/>
        <v>77881.216</v>
      </c>
      <c r="H231" s="620">
        <f t="shared" si="32"/>
        <v>-0.26963133189908078</v>
      </c>
      <c r="I231" s="557"/>
      <c r="J231" s="557"/>
    </row>
    <row r="232" spans="2:10" x14ac:dyDescent="0.25">
      <c r="B232" s="551">
        <v>42541</v>
      </c>
      <c r="C232" s="556">
        <v>4600</v>
      </c>
      <c r="D232" s="619">
        <v>16.459700000000002</v>
      </c>
      <c r="E232" s="557">
        <v>12.32</v>
      </c>
      <c r="F232" s="557">
        <f t="shared" si="30"/>
        <v>-19042.620000000006</v>
      </c>
      <c r="G232" s="557">
        <f t="shared" si="31"/>
        <v>75714.62000000001</v>
      </c>
      <c r="H232" s="620">
        <f t="shared" si="32"/>
        <v>-0.25150519146764527</v>
      </c>
      <c r="I232" s="557"/>
      <c r="J232" s="557"/>
    </row>
    <row r="233" spans="2:10" x14ac:dyDescent="0.25">
      <c r="B233" s="551">
        <v>42542</v>
      </c>
      <c r="C233" s="556">
        <v>4000</v>
      </c>
      <c r="D233" s="619">
        <v>17.010200000000001</v>
      </c>
      <c r="E233" s="557">
        <v>12.75</v>
      </c>
      <c r="F233" s="557">
        <f t="shared" si="30"/>
        <v>-17040.800000000003</v>
      </c>
      <c r="G233" s="557">
        <f t="shared" si="31"/>
        <v>68040.800000000003</v>
      </c>
      <c r="H233" s="620">
        <f t="shared" si="32"/>
        <v>-0.25044973016190292</v>
      </c>
      <c r="I233" s="557"/>
      <c r="J233" s="557"/>
    </row>
    <row r="234" spans="2:10" x14ac:dyDescent="0.25">
      <c r="B234" s="551">
        <v>42544</v>
      </c>
      <c r="C234" s="556">
        <v>2500</v>
      </c>
      <c r="D234" s="619">
        <v>18.952100000000002</v>
      </c>
      <c r="E234" s="557">
        <v>14.05</v>
      </c>
      <c r="F234" s="557">
        <f t="shared" si="30"/>
        <v>-12255.250000000002</v>
      </c>
      <c r="G234" s="557">
        <f t="shared" si="31"/>
        <v>47380.250000000007</v>
      </c>
      <c r="H234" s="620">
        <f t="shared" si="32"/>
        <v>-0.25865735195571998</v>
      </c>
      <c r="I234" s="557"/>
      <c r="J234" s="557"/>
    </row>
    <row r="235" spans="2:10" x14ac:dyDescent="0.25">
      <c r="B235" s="551">
        <v>42545</v>
      </c>
      <c r="C235" s="556">
        <v>3000</v>
      </c>
      <c r="D235" s="619">
        <v>18.046700000000001</v>
      </c>
      <c r="E235" s="557">
        <v>13.52</v>
      </c>
      <c r="F235" s="557">
        <f t="shared" si="30"/>
        <v>-13580.100000000006</v>
      </c>
      <c r="G235" s="557">
        <f t="shared" si="31"/>
        <v>54140.100000000006</v>
      </c>
      <c r="H235" s="620">
        <f t="shared" si="32"/>
        <v>-0.25083256218588446</v>
      </c>
      <c r="I235" s="557"/>
      <c r="J235" s="557"/>
    </row>
    <row r="236" spans="2:10" x14ac:dyDescent="0.25">
      <c r="B236" s="551">
        <v>42545</v>
      </c>
      <c r="C236" s="556">
        <v>3500</v>
      </c>
      <c r="D236" s="619">
        <v>17.391500000000001</v>
      </c>
      <c r="E236" s="557">
        <v>13.46</v>
      </c>
      <c r="F236" s="557">
        <f t="shared" si="30"/>
        <v>-13760.25</v>
      </c>
      <c r="G236" s="557">
        <f t="shared" si="31"/>
        <v>60870.25</v>
      </c>
      <c r="H236" s="620">
        <f t="shared" si="32"/>
        <v>-0.22605870683954804</v>
      </c>
      <c r="I236" s="557"/>
      <c r="J236" s="557"/>
    </row>
    <row r="237" spans="2:10" x14ac:dyDescent="0.25">
      <c r="B237" s="551">
        <v>42545</v>
      </c>
      <c r="C237" s="556">
        <v>4000</v>
      </c>
      <c r="D237" s="619">
        <v>16.8825</v>
      </c>
      <c r="E237" s="557">
        <v>13.32</v>
      </c>
      <c r="F237" s="557">
        <f t="shared" si="30"/>
        <v>-14250</v>
      </c>
      <c r="G237" s="557">
        <f t="shared" si="31"/>
        <v>67530</v>
      </c>
      <c r="H237" s="620">
        <f t="shared" si="32"/>
        <v>-0.21101732563305198</v>
      </c>
      <c r="I237" s="557"/>
      <c r="J237" s="557"/>
    </row>
    <row r="238" spans="2:10" x14ac:dyDescent="0.25">
      <c r="B238" s="551">
        <v>42548</v>
      </c>
      <c r="C238" s="556">
        <v>4760</v>
      </c>
      <c r="D238" s="619">
        <v>16.2315</v>
      </c>
      <c r="E238" s="557">
        <v>12.23</v>
      </c>
      <c r="F238" s="557">
        <f t="shared" si="30"/>
        <v>-19047.14</v>
      </c>
      <c r="G238" s="557">
        <f t="shared" si="31"/>
        <v>77261.94</v>
      </c>
      <c r="H238" s="620">
        <f t="shared" si="32"/>
        <v>-0.246526815143394</v>
      </c>
      <c r="I238" s="557"/>
      <c r="J238" s="557"/>
    </row>
    <row r="239" spans="2:10" x14ac:dyDescent="0.25">
      <c r="B239" s="551">
        <v>42548</v>
      </c>
      <c r="C239" s="556">
        <v>5260</v>
      </c>
      <c r="D239" s="619">
        <v>15.884399999999999</v>
      </c>
      <c r="E239" s="557">
        <v>12.23</v>
      </c>
      <c r="F239" s="557">
        <f t="shared" ref="F239:F286" si="33">-C239*(D239-E239)</f>
        <v>-19222.143999999993</v>
      </c>
      <c r="G239" s="557">
        <f t="shared" ref="G239:G286" si="34">IF(C239=0, 0,D239*C239)</f>
        <v>83551.944000000003</v>
      </c>
      <c r="H239" s="620">
        <f t="shared" ref="H239:H286" si="35">IF(C239=0, D239, (E239-D239)/D239)</f>
        <v>-0.23006219939059702</v>
      </c>
      <c r="I239" s="557"/>
      <c r="J239" s="557"/>
    </row>
    <row r="240" spans="2:10" x14ac:dyDescent="0.25">
      <c r="B240" s="551">
        <v>42549</v>
      </c>
      <c r="C240" s="556">
        <v>4500</v>
      </c>
      <c r="D240" s="619">
        <v>16.3767</v>
      </c>
      <c r="E240" s="557">
        <v>12.99</v>
      </c>
      <c r="F240" s="557">
        <f t="shared" si="33"/>
        <v>-15240.149999999998</v>
      </c>
      <c r="G240" s="557">
        <f t="shared" si="34"/>
        <v>73695.149999999994</v>
      </c>
      <c r="H240" s="620">
        <f t="shared" si="35"/>
        <v>-0.2067999047427137</v>
      </c>
      <c r="I240" s="557"/>
      <c r="J240" s="557"/>
    </row>
    <row r="241" spans="2:10" x14ac:dyDescent="0.25">
      <c r="B241" s="551">
        <v>42550</v>
      </c>
      <c r="C241" s="556">
        <v>4500</v>
      </c>
      <c r="D241" s="619">
        <v>16.3767</v>
      </c>
      <c r="E241" s="557">
        <v>13.19</v>
      </c>
      <c r="F241" s="557">
        <f t="shared" si="33"/>
        <v>-14340.15</v>
      </c>
      <c r="G241" s="557">
        <f t="shared" si="34"/>
        <v>73695.149999999994</v>
      </c>
      <c r="H241" s="620">
        <f t="shared" si="35"/>
        <v>-0.19458743214444912</v>
      </c>
      <c r="I241" s="557">
        <v>16</v>
      </c>
      <c r="J241" s="557"/>
    </row>
    <row r="242" spans="2:10" x14ac:dyDescent="0.25">
      <c r="B242" s="551">
        <v>42551</v>
      </c>
      <c r="C242" s="556">
        <v>4000</v>
      </c>
      <c r="D242" s="619">
        <v>16.708500000000001</v>
      </c>
      <c r="E242" s="557">
        <v>13.76</v>
      </c>
      <c r="F242" s="557">
        <f t="shared" si="33"/>
        <v>-11794.000000000004</v>
      </c>
      <c r="G242" s="557">
        <f t="shared" si="34"/>
        <v>66834</v>
      </c>
      <c r="H242" s="620">
        <f t="shared" si="35"/>
        <v>-0.176467067660173</v>
      </c>
      <c r="I242" s="557"/>
      <c r="J242" s="557"/>
    </row>
    <row r="243" spans="2:10" x14ac:dyDescent="0.25">
      <c r="B243" s="551">
        <v>42551</v>
      </c>
      <c r="C243" s="556">
        <v>4500</v>
      </c>
      <c r="D243" s="619">
        <v>16.23</v>
      </c>
      <c r="E243" s="557">
        <v>13.76</v>
      </c>
      <c r="F243" s="557">
        <f t="shared" si="33"/>
        <v>-11115.000000000004</v>
      </c>
      <c r="G243" s="557">
        <f t="shared" si="34"/>
        <v>73035</v>
      </c>
      <c r="H243" s="620">
        <f t="shared" si="35"/>
        <v>-0.15218730745532968</v>
      </c>
      <c r="I243" s="557" t="s">
        <v>235</v>
      </c>
      <c r="J243" s="557"/>
    </row>
    <row r="244" spans="2:10" x14ac:dyDescent="0.25">
      <c r="B244" s="551">
        <v>42552</v>
      </c>
      <c r="C244" s="556">
        <v>4500</v>
      </c>
      <c r="D244" s="619">
        <v>16.23</v>
      </c>
      <c r="E244" s="557">
        <v>12.5</v>
      </c>
      <c r="F244" s="557">
        <f t="shared" si="33"/>
        <v>-16785.000000000004</v>
      </c>
      <c r="G244" s="557">
        <f t="shared" si="34"/>
        <v>73035</v>
      </c>
      <c r="H244" s="620">
        <f t="shared" si="35"/>
        <v>-0.22982131854590268</v>
      </c>
      <c r="I244" s="557"/>
      <c r="J244" s="557"/>
    </row>
    <row r="245" spans="2:10" x14ac:dyDescent="0.25">
      <c r="B245" s="551">
        <v>42556</v>
      </c>
      <c r="C245" s="622">
        <v>5000</v>
      </c>
      <c r="D245" s="623">
        <v>15.7963</v>
      </c>
      <c r="E245" s="557">
        <v>11.91</v>
      </c>
      <c r="F245" s="557">
        <f t="shared" si="33"/>
        <v>-19431.5</v>
      </c>
      <c r="G245" s="557">
        <f t="shared" si="34"/>
        <v>78981.5</v>
      </c>
      <c r="H245" s="620">
        <f t="shared" si="35"/>
        <v>-0.24602596810645533</v>
      </c>
      <c r="I245" s="557">
        <v>15.6</v>
      </c>
      <c r="J245" s="557"/>
    </row>
    <row r="246" spans="2:10" x14ac:dyDescent="0.25">
      <c r="B246" s="551">
        <v>42557</v>
      </c>
      <c r="C246" s="556">
        <v>4500</v>
      </c>
      <c r="D246" s="619">
        <v>16.142600000000002</v>
      </c>
      <c r="E246" s="557">
        <v>12.2</v>
      </c>
      <c r="F246" s="557">
        <f t="shared" si="33"/>
        <v>-17741.700000000012</v>
      </c>
      <c r="G246" s="557">
        <f t="shared" si="34"/>
        <v>72641.700000000012</v>
      </c>
      <c r="H246" s="620">
        <f t="shared" si="35"/>
        <v>-0.24423574888803551</v>
      </c>
      <c r="I246" s="557"/>
      <c r="J246" s="557"/>
    </row>
    <row r="247" spans="2:10" x14ac:dyDescent="0.25">
      <c r="B247" s="551">
        <v>42559</v>
      </c>
      <c r="C247" s="556">
        <v>4500</v>
      </c>
      <c r="D247" s="619">
        <v>16.142600000000002</v>
      </c>
      <c r="E247" s="557">
        <v>12.62</v>
      </c>
      <c r="F247" s="557">
        <f t="shared" si="33"/>
        <v>-15851.700000000012</v>
      </c>
      <c r="G247" s="557">
        <f t="shared" si="34"/>
        <v>72641.700000000012</v>
      </c>
      <c r="H247" s="620">
        <f t="shared" si="35"/>
        <v>-0.21821763532516461</v>
      </c>
      <c r="I247" s="557"/>
      <c r="J247" s="557"/>
    </row>
    <row r="248" spans="2:10" x14ac:dyDescent="0.25">
      <c r="B248" s="551">
        <v>42562</v>
      </c>
      <c r="C248" s="556">
        <v>4500</v>
      </c>
      <c r="D248" s="619">
        <v>16.143000000000001</v>
      </c>
      <c r="E248" s="557">
        <v>12.64</v>
      </c>
      <c r="F248" s="557">
        <f t="shared" si="33"/>
        <v>-15763.5</v>
      </c>
      <c r="G248" s="557">
        <f t="shared" si="34"/>
        <v>72643.5</v>
      </c>
      <c r="H248" s="620">
        <f t="shared" si="35"/>
        <v>-0.21699807966301182</v>
      </c>
      <c r="I248" s="557"/>
      <c r="J248" s="557"/>
    </row>
    <row r="249" spans="2:10" x14ac:dyDescent="0.25">
      <c r="B249" s="551">
        <v>42572</v>
      </c>
      <c r="C249" s="556">
        <v>4500</v>
      </c>
      <c r="D249" s="619">
        <v>16.143000000000001</v>
      </c>
      <c r="E249" s="557">
        <v>13.18</v>
      </c>
      <c r="F249" s="557">
        <f t="shared" si="33"/>
        <v>-13333.500000000004</v>
      </c>
      <c r="G249" s="557">
        <f t="shared" si="34"/>
        <v>72643.5</v>
      </c>
      <c r="H249" s="620">
        <f t="shared" si="35"/>
        <v>-0.18354704825621018</v>
      </c>
      <c r="I249" s="557"/>
      <c r="J249" s="557"/>
    </row>
    <row r="250" spans="2:10" x14ac:dyDescent="0.25">
      <c r="B250" s="551">
        <v>42576</v>
      </c>
      <c r="C250" s="556">
        <v>4000</v>
      </c>
      <c r="D250" s="619">
        <v>16.433</v>
      </c>
      <c r="E250" s="557">
        <v>13.92</v>
      </c>
      <c r="F250" s="557">
        <f t="shared" si="33"/>
        <v>-10052</v>
      </c>
      <c r="G250" s="557">
        <f t="shared" si="34"/>
        <v>65732</v>
      </c>
      <c r="H250" s="620">
        <f t="shared" si="35"/>
        <v>-0.15292399440150917</v>
      </c>
      <c r="I250" s="557"/>
      <c r="J250" s="557"/>
    </row>
    <row r="251" spans="2:10" x14ac:dyDescent="0.25">
      <c r="B251" s="551">
        <v>42577</v>
      </c>
      <c r="C251" s="556">
        <v>3200</v>
      </c>
      <c r="D251" s="619">
        <v>16.935400000000001</v>
      </c>
      <c r="E251" s="557">
        <v>14.67</v>
      </c>
      <c r="F251" s="557">
        <f t="shared" si="33"/>
        <v>-7249.2800000000043</v>
      </c>
      <c r="G251" s="557">
        <f t="shared" si="34"/>
        <v>54193.280000000006</v>
      </c>
      <c r="H251" s="620">
        <f t="shared" si="35"/>
        <v>-0.1337671386563058</v>
      </c>
      <c r="I251" s="557"/>
      <c r="J251" s="557"/>
    </row>
    <row r="252" spans="2:10" x14ac:dyDescent="0.25">
      <c r="B252" s="551">
        <v>42578</v>
      </c>
      <c r="C252" s="556">
        <v>3400</v>
      </c>
      <c r="D252" s="619">
        <v>16.7698</v>
      </c>
      <c r="E252" s="557">
        <v>14.19</v>
      </c>
      <c r="F252" s="557">
        <f t="shared" si="33"/>
        <v>-8771.3200000000015</v>
      </c>
      <c r="G252" s="557">
        <f t="shared" si="34"/>
        <v>57017.32</v>
      </c>
      <c r="H252" s="620">
        <f t="shared" si="35"/>
        <v>-0.15383606244558673</v>
      </c>
      <c r="I252" s="557"/>
      <c r="J252" s="557"/>
    </row>
    <row r="253" spans="2:10" x14ac:dyDescent="0.25">
      <c r="B253" s="551">
        <v>42579</v>
      </c>
      <c r="C253" s="556">
        <v>4000</v>
      </c>
      <c r="D253" s="619">
        <v>16.327300000000001</v>
      </c>
      <c r="E253" s="557">
        <v>13.81</v>
      </c>
      <c r="F253" s="557">
        <f t="shared" si="33"/>
        <v>-10069.200000000003</v>
      </c>
      <c r="G253" s="557">
        <f t="shared" si="34"/>
        <v>65309.200000000004</v>
      </c>
      <c r="H253" s="620">
        <f t="shared" si="35"/>
        <v>-0.15417735939193869</v>
      </c>
      <c r="I253" s="557"/>
      <c r="J253" s="557"/>
    </row>
    <row r="254" spans="2:10" x14ac:dyDescent="0.25">
      <c r="B254" s="551">
        <v>42580</v>
      </c>
      <c r="C254" s="556">
        <v>4500</v>
      </c>
      <c r="D254" s="619">
        <v>16.026499999999999</v>
      </c>
      <c r="E254" s="557">
        <v>13.74</v>
      </c>
      <c r="F254" s="557">
        <f t="shared" si="33"/>
        <v>-10289.249999999993</v>
      </c>
      <c r="G254" s="557">
        <f t="shared" si="34"/>
        <v>72119.25</v>
      </c>
      <c r="H254" s="620">
        <f t="shared" si="35"/>
        <v>-0.14266995289052498</v>
      </c>
      <c r="I254" s="557"/>
      <c r="J254" s="557"/>
    </row>
    <row r="255" spans="2:10" x14ac:dyDescent="0.25">
      <c r="B255" s="551">
        <v>42585</v>
      </c>
      <c r="C255" s="556">
        <v>4700</v>
      </c>
      <c r="D255" s="619">
        <v>15.9011</v>
      </c>
      <c r="E255" s="557">
        <v>13.4</v>
      </c>
      <c r="F255" s="557">
        <f t="shared" si="33"/>
        <v>-11755.169999999996</v>
      </c>
      <c r="G255" s="557">
        <f t="shared" si="34"/>
        <v>74735.17</v>
      </c>
      <c r="H255" s="620">
        <f t="shared" si="35"/>
        <v>-0.15729100502480955</v>
      </c>
      <c r="I255" s="557"/>
      <c r="J255" s="557"/>
    </row>
    <row r="256" spans="2:10" x14ac:dyDescent="0.25">
      <c r="B256" s="551">
        <v>42586</v>
      </c>
      <c r="C256" s="556">
        <v>4500</v>
      </c>
      <c r="D256" s="619">
        <v>15.990399999999999</v>
      </c>
      <c r="E256" s="557">
        <v>14.03</v>
      </c>
      <c r="F256" s="557">
        <f t="shared" si="33"/>
        <v>-8821.7999999999993</v>
      </c>
      <c r="G256" s="557">
        <f t="shared" si="34"/>
        <v>71956.800000000003</v>
      </c>
      <c r="H256" s="620">
        <f t="shared" si="35"/>
        <v>-0.12259855913548129</v>
      </c>
      <c r="I256" s="557" t="s">
        <v>273</v>
      </c>
      <c r="J256" s="557"/>
    </row>
    <row r="257" spans="2:10" x14ac:dyDescent="0.25">
      <c r="B257" s="551">
        <v>42587</v>
      </c>
      <c r="C257" s="556">
        <v>4000</v>
      </c>
      <c r="D257" s="619">
        <v>16.158000000000001</v>
      </c>
      <c r="E257" s="557">
        <v>14.52</v>
      </c>
      <c r="F257" s="557">
        <f t="shared" si="33"/>
        <v>-6552.0000000000064</v>
      </c>
      <c r="G257" s="557">
        <f t="shared" si="34"/>
        <v>64632.000000000007</v>
      </c>
      <c r="H257" s="620">
        <f t="shared" si="35"/>
        <v>-0.10137393241737848</v>
      </c>
      <c r="I257" s="557">
        <v>16</v>
      </c>
      <c r="J257" s="557"/>
    </row>
    <row r="258" spans="2:10" x14ac:dyDescent="0.25">
      <c r="B258" s="551">
        <v>42593</v>
      </c>
      <c r="C258" s="556">
        <v>4000</v>
      </c>
      <c r="D258" s="619">
        <v>16.158000000000001</v>
      </c>
      <c r="E258" s="557">
        <v>14.2</v>
      </c>
      <c r="F258" s="557">
        <f t="shared" si="33"/>
        <v>-7832.0000000000082</v>
      </c>
      <c r="G258" s="557">
        <f t="shared" si="34"/>
        <v>64632.000000000007</v>
      </c>
      <c r="H258" s="620">
        <f t="shared" si="35"/>
        <v>-0.12117836365886879</v>
      </c>
      <c r="I258" s="557"/>
      <c r="J258" s="557"/>
    </row>
    <row r="259" spans="2:10" x14ac:dyDescent="0.25">
      <c r="B259" s="551">
        <v>42597</v>
      </c>
      <c r="C259" s="556">
        <v>2000</v>
      </c>
      <c r="D259" s="619">
        <v>17.3687</v>
      </c>
      <c r="E259" s="557">
        <v>15.53</v>
      </c>
      <c r="F259" s="557">
        <f t="shared" si="33"/>
        <v>-3677.4000000000024</v>
      </c>
      <c r="G259" s="557">
        <f t="shared" si="34"/>
        <v>34737.4</v>
      </c>
      <c r="H259" s="620">
        <f t="shared" si="35"/>
        <v>-0.10586284523309177</v>
      </c>
      <c r="I259" s="557">
        <v>17</v>
      </c>
      <c r="J259" s="557"/>
    </row>
    <row r="260" spans="2:10" x14ac:dyDescent="0.25">
      <c r="B260" s="551">
        <v>42599</v>
      </c>
      <c r="C260" s="556">
        <v>2000</v>
      </c>
      <c r="D260" s="619">
        <v>17.331299999999999</v>
      </c>
      <c r="E260" s="557">
        <v>15.52</v>
      </c>
      <c r="F260" s="557">
        <f t="shared" si="33"/>
        <v>-3622.5999999999985</v>
      </c>
      <c r="G260" s="557">
        <f t="shared" si="34"/>
        <v>34662.6</v>
      </c>
      <c r="H260" s="620">
        <f t="shared" si="35"/>
        <v>-0.10451033678950797</v>
      </c>
      <c r="I260" s="557"/>
      <c r="J260" s="557"/>
    </row>
    <row r="261" spans="2:10" x14ac:dyDescent="0.25">
      <c r="B261" s="551">
        <v>42600</v>
      </c>
      <c r="C261" s="556">
        <v>2000</v>
      </c>
      <c r="D261" s="619">
        <v>17.331299999999999</v>
      </c>
      <c r="E261" s="557">
        <v>15.77</v>
      </c>
      <c r="F261" s="557">
        <f t="shared" si="33"/>
        <v>-3122.5999999999985</v>
      </c>
      <c r="G261" s="557">
        <f t="shared" si="34"/>
        <v>34662.6</v>
      </c>
      <c r="H261" s="620">
        <f t="shared" si="35"/>
        <v>-9.0085567730060601E-2</v>
      </c>
      <c r="I261" s="557"/>
      <c r="J261" s="557"/>
    </row>
    <row r="262" spans="2:10" x14ac:dyDescent="0.25">
      <c r="B262" s="551">
        <v>42601</v>
      </c>
      <c r="C262" s="556">
        <v>2000</v>
      </c>
      <c r="D262" s="619">
        <v>17.331299999999999</v>
      </c>
      <c r="E262" s="557">
        <v>16.25</v>
      </c>
      <c r="F262" s="557">
        <f t="shared" si="33"/>
        <v>-2162.5999999999976</v>
      </c>
      <c r="G262" s="557">
        <f t="shared" si="34"/>
        <v>34662.6</v>
      </c>
      <c r="H262" s="620">
        <f t="shared" si="35"/>
        <v>-6.2390011135921651E-2</v>
      </c>
      <c r="I262" s="557"/>
      <c r="J262" s="557"/>
    </row>
    <row r="263" spans="2:10" x14ac:dyDescent="0.25">
      <c r="B263" s="551">
        <v>42604</v>
      </c>
      <c r="C263" s="556">
        <v>2000</v>
      </c>
      <c r="D263" s="619">
        <v>17.331299999999999</v>
      </c>
      <c r="E263" s="557">
        <v>16.190000000000001</v>
      </c>
      <c r="F263" s="557">
        <f t="shared" si="33"/>
        <v>-2282.5999999999949</v>
      </c>
      <c r="G263" s="557">
        <f t="shared" si="34"/>
        <v>34662.6</v>
      </c>
      <c r="H263" s="620">
        <f t="shared" si="35"/>
        <v>-6.5851955710188939E-2</v>
      </c>
      <c r="I263" s="557"/>
      <c r="J263" s="557"/>
    </row>
    <row r="264" spans="2:10" x14ac:dyDescent="0.25">
      <c r="B264" s="551">
        <v>42607</v>
      </c>
      <c r="C264" s="556">
        <v>2000</v>
      </c>
      <c r="D264" s="619">
        <v>17.331299999999999</v>
      </c>
      <c r="E264" s="557">
        <v>16.2</v>
      </c>
      <c r="F264" s="557">
        <f t="shared" si="33"/>
        <v>-2262.599999999999</v>
      </c>
      <c r="G264" s="557">
        <f t="shared" si="34"/>
        <v>34662.6</v>
      </c>
      <c r="H264" s="620">
        <f t="shared" si="35"/>
        <v>-6.5274964947811168E-2</v>
      </c>
      <c r="I264" s="557"/>
      <c r="J264" s="557"/>
    </row>
    <row r="265" spans="2:10" x14ac:dyDescent="0.25">
      <c r="B265" s="551">
        <v>42609</v>
      </c>
      <c r="C265" s="556">
        <v>2000</v>
      </c>
      <c r="D265" s="619">
        <v>17.331299999999999</v>
      </c>
      <c r="E265" s="557">
        <v>16.91</v>
      </c>
      <c r="F265" s="557">
        <f t="shared" si="33"/>
        <v>-842.59999999999741</v>
      </c>
      <c r="G265" s="557">
        <f t="shared" si="34"/>
        <v>34662.6</v>
      </c>
      <c r="H265" s="620">
        <f t="shared" si="35"/>
        <v>-2.4308620818980612E-2</v>
      </c>
      <c r="I265" s="557"/>
      <c r="J265" s="557"/>
    </row>
    <row r="266" spans="2:10" x14ac:dyDescent="0.25">
      <c r="B266" s="551">
        <v>42612</v>
      </c>
      <c r="C266" s="556">
        <v>2000</v>
      </c>
      <c r="D266" s="619">
        <v>17.331299999999999</v>
      </c>
      <c r="E266" s="557">
        <v>16.739999999999998</v>
      </c>
      <c r="F266" s="557">
        <f t="shared" si="33"/>
        <v>-1182.6000000000008</v>
      </c>
      <c r="G266" s="557">
        <f t="shared" si="34"/>
        <v>34662.6</v>
      </c>
      <c r="H266" s="620">
        <f t="shared" si="35"/>
        <v>-3.4117463779404916E-2</v>
      </c>
      <c r="I266" s="557"/>
      <c r="J266" s="557"/>
    </row>
    <row r="267" spans="2:10" x14ac:dyDescent="0.25">
      <c r="B267" s="551">
        <v>42615</v>
      </c>
      <c r="C267" s="556">
        <v>2000</v>
      </c>
      <c r="D267" s="619">
        <v>17.331299999999999</v>
      </c>
      <c r="E267" s="557">
        <v>16.7</v>
      </c>
      <c r="F267" s="557">
        <f t="shared" si="33"/>
        <v>-1262.599999999999</v>
      </c>
      <c r="G267" s="557">
        <f t="shared" si="34"/>
        <v>34662.6</v>
      </c>
      <c r="H267" s="620">
        <f t="shared" si="35"/>
        <v>-3.6425426828916446E-2</v>
      </c>
      <c r="I267" s="557"/>
      <c r="J267" s="557"/>
    </row>
    <row r="268" spans="2:10" x14ac:dyDescent="0.25">
      <c r="B268" s="551">
        <v>42619</v>
      </c>
      <c r="C268" s="556">
        <v>2000</v>
      </c>
      <c r="D268" s="619">
        <v>17.273900000000001</v>
      </c>
      <c r="E268" s="557">
        <v>17.010000000000002</v>
      </c>
      <c r="F268" s="557">
        <f t="shared" si="33"/>
        <v>-527.79999999999916</v>
      </c>
      <c r="G268" s="557">
        <f t="shared" si="34"/>
        <v>34547.800000000003</v>
      </c>
      <c r="H268" s="620">
        <f t="shared" si="35"/>
        <v>-1.5277383798678906E-2</v>
      </c>
      <c r="I268" s="557">
        <v>17</v>
      </c>
      <c r="J268" s="557"/>
    </row>
    <row r="269" spans="2:10" x14ac:dyDescent="0.25">
      <c r="B269" s="551">
        <v>42620</v>
      </c>
      <c r="C269" s="556">
        <v>2000</v>
      </c>
      <c r="D269" s="619">
        <v>17.234000000000002</v>
      </c>
      <c r="E269" s="557">
        <v>17.16</v>
      </c>
      <c r="F269" s="557">
        <f t="shared" si="33"/>
        <v>-148.00000000000324</v>
      </c>
      <c r="G269" s="557">
        <f t="shared" si="34"/>
        <v>34468</v>
      </c>
      <c r="H269" s="620">
        <f t="shared" si="35"/>
        <v>-4.2938377625624706E-3</v>
      </c>
      <c r="I269" s="557">
        <v>17</v>
      </c>
      <c r="J269" s="557"/>
    </row>
    <row r="270" spans="2:10" x14ac:dyDescent="0.25">
      <c r="B270" s="551">
        <v>42621</v>
      </c>
      <c r="C270" s="556">
        <v>1500</v>
      </c>
      <c r="D270" s="619">
        <v>17.168800000000001</v>
      </c>
      <c r="E270" s="557">
        <v>17.45</v>
      </c>
      <c r="F270" s="557">
        <f t="shared" si="33"/>
        <v>421.79999999999751</v>
      </c>
      <c r="G270" s="557">
        <f t="shared" si="34"/>
        <v>25753.200000000001</v>
      </c>
      <c r="H270" s="620">
        <f t="shared" si="35"/>
        <v>1.6378547132006798E-2</v>
      </c>
      <c r="I270" s="557"/>
      <c r="J270" s="557"/>
    </row>
    <row r="271" spans="2:10" x14ac:dyDescent="0.25">
      <c r="B271" s="551">
        <v>42622</v>
      </c>
      <c r="C271" s="556">
        <v>2000</v>
      </c>
      <c r="D271" s="619">
        <v>17.137899999999998</v>
      </c>
      <c r="E271" s="557">
        <v>16.809999999999999</v>
      </c>
      <c r="F271" s="557">
        <f t="shared" si="33"/>
        <v>-655.79999999999927</v>
      </c>
      <c r="G271" s="557">
        <f t="shared" si="34"/>
        <v>34275.799999999996</v>
      </c>
      <c r="H271" s="620">
        <f t="shared" si="35"/>
        <v>-1.9133032635270348E-2</v>
      </c>
      <c r="I271" s="557">
        <v>17</v>
      </c>
      <c r="J271" s="557"/>
    </row>
    <row r="272" spans="2:10" x14ac:dyDescent="0.25">
      <c r="B272" s="551">
        <v>42625</v>
      </c>
      <c r="C272" s="556">
        <v>2000</v>
      </c>
      <c r="D272" s="619">
        <v>17.137899999999998</v>
      </c>
      <c r="E272" s="557">
        <v>17.149999999999999</v>
      </c>
      <c r="F272" s="557">
        <f t="shared" si="33"/>
        <v>24.200000000000443</v>
      </c>
      <c r="G272" s="557">
        <f t="shared" si="34"/>
        <v>34275.799999999996</v>
      </c>
      <c r="H272" s="620">
        <f t="shared" si="35"/>
        <v>7.0603749584256077E-4</v>
      </c>
      <c r="I272" s="557"/>
      <c r="J272" s="557"/>
    </row>
    <row r="273" spans="2:10" x14ac:dyDescent="0.25">
      <c r="B273" s="551">
        <v>42626</v>
      </c>
      <c r="C273" s="556">
        <v>2100</v>
      </c>
      <c r="D273" s="619">
        <v>17.1065</v>
      </c>
      <c r="E273" s="557">
        <v>16.75</v>
      </c>
      <c r="F273" s="557">
        <f t="shared" si="33"/>
        <v>-748.650000000001</v>
      </c>
      <c r="G273" s="557">
        <f t="shared" si="34"/>
        <v>35923.65</v>
      </c>
      <c r="H273" s="620">
        <f t="shared" si="35"/>
        <v>-2.0840031566948265E-2</v>
      </c>
      <c r="I273" s="557"/>
      <c r="J273" s="557"/>
    </row>
    <row r="274" spans="2:10" x14ac:dyDescent="0.25">
      <c r="B274" s="551">
        <v>42627</v>
      </c>
      <c r="C274" s="556">
        <v>2100</v>
      </c>
      <c r="D274" s="619">
        <v>17.1065</v>
      </c>
      <c r="E274" s="557">
        <v>16.93</v>
      </c>
      <c r="F274" s="557">
        <f t="shared" si="33"/>
        <v>-370.65000000000163</v>
      </c>
      <c r="G274" s="557">
        <f t="shared" si="34"/>
        <v>35923.65</v>
      </c>
      <c r="H274" s="620">
        <f t="shared" si="35"/>
        <v>-1.0317715488264739E-2</v>
      </c>
      <c r="I274" s="557"/>
      <c r="J274" s="557"/>
    </row>
    <row r="275" spans="2:10" x14ac:dyDescent="0.25">
      <c r="B275" s="551">
        <v>42628</v>
      </c>
      <c r="C275" s="556">
        <v>2100</v>
      </c>
      <c r="D275" s="619">
        <v>17.1065</v>
      </c>
      <c r="E275" s="557">
        <v>17.45</v>
      </c>
      <c r="F275" s="557">
        <f t="shared" si="33"/>
        <v>721.34999999999752</v>
      </c>
      <c r="G275" s="557">
        <f t="shared" si="34"/>
        <v>35923.65</v>
      </c>
      <c r="H275" s="620">
        <f t="shared" si="35"/>
        <v>2.008008651682102E-2</v>
      </c>
      <c r="I275" s="557"/>
      <c r="J275" s="557"/>
    </row>
    <row r="276" spans="2:10" x14ac:dyDescent="0.25">
      <c r="B276" s="551">
        <v>42629</v>
      </c>
      <c r="C276" s="556">
        <v>2100</v>
      </c>
      <c r="D276" s="619">
        <v>17.1065</v>
      </c>
      <c r="E276" s="557">
        <v>17.48</v>
      </c>
      <c r="F276" s="557">
        <f t="shared" si="33"/>
        <v>784.34999999999991</v>
      </c>
      <c r="G276" s="557">
        <f t="shared" si="34"/>
        <v>35923.65</v>
      </c>
      <c r="H276" s="620">
        <f t="shared" si="35"/>
        <v>2.1833805863268343E-2</v>
      </c>
      <c r="I276" s="557"/>
      <c r="J276" s="557"/>
    </row>
    <row r="277" spans="2:10" x14ac:dyDescent="0.25">
      <c r="B277" s="551">
        <v>42632</v>
      </c>
      <c r="C277" s="556">
        <v>2100</v>
      </c>
      <c r="D277" s="619">
        <v>17.106529999999999</v>
      </c>
      <c r="E277" s="557">
        <v>16.95</v>
      </c>
      <c r="F277" s="557">
        <f t="shared" si="33"/>
        <v>-328.71300000000014</v>
      </c>
      <c r="G277" s="557">
        <f t="shared" si="34"/>
        <v>35923.712999999996</v>
      </c>
      <c r="H277" s="620">
        <f t="shared" si="35"/>
        <v>-9.150306929576019E-3</v>
      </c>
      <c r="I277" s="557"/>
      <c r="J277" s="557"/>
    </row>
    <row r="278" spans="2:10" x14ac:dyDescent="0.25">
      <c r="B278" s="551">
        <v>42634</v>
      </c>
      <c r="C278" s="556">
        <v>1600</v>
      </c>
      <c r="D278" s="619">
        <v>16.943059999999999</v>
      </c>
      <c r="E278" s="557">
        <v>17.66</v>
      </c>
      <c r="F278" s="557">
        <f t="shared" si="33"/>
        <v>1147.1040000000016</v>
      </c>
      <c r="G278" s="557">
        <f t="shared" si="34"/>
        <v>27108.895999999997</v>
      </c>
      <c r="H278" s="620">
        <f t="shared" si="35"/>
        <v>4.2314670431433346E-2</v>
      </c>
      <c r="I278" s="557"/>
      <c r="J278" s="557"/>
    </row>
    <row r="279" spans="2:10" x14ac:dyDescent="0.25">
      <c r="B279" s="551">
        <v>42635</v>
      </c>
      <c r="C279" s="556">
        <v>1600</v>
      </c>
      <c r="D279" s="619">
        <v>16.943059999999999</v>
      </c>
      <c r="E279" s="557">
        <v>17.59</v>
      </c>
      <c r="F279" s="557">
        <f t="shared" si="33"/>
        <v>1035.1040000000012</v>
      </c>
      <c r="G279" s="557">
        <f t="shared" si="34"/>
        <v>27108.895999999997</v>
      </c>
      <c r="H279" s="620">
        <f t="shared" si="35"/>
        <v>3.8183185327797978E-2</v>
      </c>
      <c r="I279" s="557"/>
      <c r="J279" s="557"/>
    </row>
    <row r="280" spans="2:10" x14ac:dyDescent="0.25">
      <c r="B280" s="551">
        <v>42640</v>
      </c>
      <c r="C280" s="556">
        <v>1600</v>
      </c>
      <c r="D280" s="619">
        <v>16.943059999999999</v>
      </c>
      <c r="E280" s="557">
        <v>18</v>
      </c>
      <c r="F280" s="557">
        <f t="shared" si="33"/>
        <v>1691.1040000000014</v>
      </c>
      <c r="G280" s="557">
        <f t="shared" si="34"/>
        <v>27108.895999999997</v>
      </c>
      <c r="H280" s="620">
        <f t="shared" si="35"/>
        <v>6.2381883791947909E-2</v>
      </c>
      <c r="I280" s="557"/>
      <c r="J280" s="557"/>
    </row>
    <row r="281" spans="2:10" x14ac:dyDescent="0.25">
      <c r="B281" s="551">
        <v>42641</v>
      </c>
      <c r="C281" s="556">
        <v>1800</v>
      </c>
      <c r="D281" s="619">
        <v>16.979289999999999</v>
      </c>
      <c r="E281" s="557">
        <v>17.440000000000001</v>
      </c>
      <c r="F281" s="557">
        <f t="shared" si="33"/>
        <v>829.27800000000434</v>
      </c>
      <c r="G281" s="557">
        <f t="shared" si="34"/>
        <v>30562.721999999998</v>
      </c>
      <c r="H281" s="620">
        <f t="shared" si="35"/>
        <v>2.71336433973389E-2</v>
      </c>
      <c r="I281" s="557"/>
      <c r="J281" s="557"/>
    </row>
    <row r="282" spans="2:10" x14ac:dyDescent="0.25">
      <c r="B282" s="551">
        <v>42643</v>
      </c>
      <c r="C282" s="556">
        <v>1800</v>
      </c>
      <c r="D282" s="619">
        <v>16.979289999999999</v>
      </c>
      <c r="E282" s="557">
        <v>17.78</v>
      </c>
      <c r="F282" s="557">
        <f t="shared" si="33"/>
        <v>1441.2780000000041</v>
      </c>
      <c r="G282" s="557">
        <f t="shared" si="34"/>
        <v>30562.721999999998</v>
      </c>
      <c r="H282" s="620">
        <f t="shared" si="35"/>
        <v>4.7158037821369583E-2</v>
      </c>
      <c r="I282" s="557"/>
      <c r="J282" s="557"/>
    </row>
    <row r="283" spans="2:10" x14ac:dyDescent="0.25">
      <c r="B283" s="551">
        <v>42647</v>
      </c>
      <c r="C283" s="556">
        <v>2000</v>
      </c>
      <c r="D283" s="619">
        <v>16.989360000000001</v>
      </c>
      <c r="E283" s="557">
        <v>17.8</v>
      </c>
      <c r="F283" s="557">
        <f t="shared" si="33"/>
        <v>1621.2799999999988</v>
      </c>
      <c r="G283" s="557">
        <f t="shared" si="34"/>
        <v>33978.720000000001</v>
      </c>
      <c r="H283" s="620">
        <f t="shared" si="35"/>
        <v>4.7714569589437116E-2</v>
      </c>
      <c r="I283" s="624" t="s">
        <v>303</v>
      </c>
      <c r="J283" s="624" t="s">
        <v>301</v>
      </c>
    </row>
    <row r="284" spans="2:10" x14ac:dyDescent="0.25">
      <c r="B284" s="551">
        <v>42648</v>
      </c>
      <c r="C284" s="556">
        <v>2000</v>
      </c>
      <c r="D284" s="619">
        <v>16.989360000000001</v>
      </c>
      <c r="E284" s="557">
        <v>17.7</v>
      </c>
      <c r="F284" s="557">
        <f t="shared" si="33"/>
        <v>1421.2799999999959</v>
      </c>
      <c r="G284" s="557">
        <f t="shared" si="34"/>
        <v>33978.720000000001</v>
      </c>
      <c r="H284" s="620">
        <f t="shared" si="35"/>
        <v>4.1828532681631204E-2</v>
      </c>
      <c r="I284" s="557"/>
      <c r="J284" s="557"/>
    </row>
    <row r="285" spans="2:10" x14ac:dyDescent="0.25">
      <c r="B285" s="551">
        <v>42661</v>
      </c>
      <c r="C285" s="556">
        <v>2200</v>
      </c>
      <c r="D285" s="619">
        <v>16.96123</v>
      </c>
      <c r="E285" s="557">
        <v>17.41</v>
      </c>
      <c r="F285" s="557">
        <f t="shared" si="33"/>
        <v>987.2939999999993</v>
      </c>
      <c r="G285" s="557">
        <f t="shared" si="34"/>
        <v>37314.705999999998</v>
      </c>
      <c r="H285" s="620">
        <f t="shared" si="35"/>
        <v>2.6458576412205934E-2</v>
      </c>
      <c r="I285" s="557"/>
      <c r="J285" s="557"/>
    </row>
    <row r="286" spans="2:10" x14ac:dyDescent="0.25">
      <c r="B286" s="551">
        <v>42662</v>
      </c>
      <c r="C286" s="556">
        <v>2000</v>
      </c>
      <c r="D286" s="619">
        <v>16.933399999999999</v>
      </c>
      <c r="E286" s="557">
        <v>17.215</v>
      </c>
      <c r="F286" s="557">
        <f t="shared" si="33"/>
        <v>563.20000000000186</v>
      </c>
      <c r="G286" s="557">
        <f t="shared" si="34"/>
        <v>33866.799999999996</v>
      </c>
      <c r="H286" s="620">
        <f t="shared" si="35"/>
        <v>1.6629855787969397E-2</v>
      </c>
      <c r="I286" s="624">
        <v>16.8</v>
      </c>
      <c r="J286" s="557"/>
    </row>
    <row r="287" spans="2:10" x14ac:dyDescent="0.25">
      <c r="B287" s="551">
        <v>42664</v>
      </c>
      <c r="C287" s="556">
        <v>2000</v>
      </c>
      <c r="D287" s="619">
        <v>16.933399999999999</v>
      </c>
      <c r="E287" s="557">
        <v>16.940000000000001</v>
      </c>
      <c r="F287" s="557">
        <f t="shared" ref="F287:F292" si="36">-C287*(D287-E287)</f>
        <v>13.200000000004763</v>
      </c>
      <c r="G287" s="557">
        <f t="shared" ref="G287:G292" si="37">IF(C287=0, 0,D287*C287)</f>
        <v>33866.799999999996</v>
      </c>
      <c r="H287" s="620">
        <f t="shared" ref="H287:H292" si="38">IF(C287=0, D287, (E287-D287)/D287)</f>
        <v>3.8976224503067206E-4</v>
      </c>
      <c r="I287" s="557"/>
      <c r="J287" s="557"/>
    </row>
    <row r="288" spans="2:10" x14ac:dyDescent="0.25">
      <c r="B288" s="551">
        <v>42668</v>
      </c>
      <c r="C288" s="556">
        <v>1800</v>
      </c>
      <c r="D288" s="619">
        <v>16.864930000000001</v>
      </c>
      <c r="E288" s="557">
        <v>17.54</v>
      </c>
      <c r="F288" s="557">
        <f t="shared" si="36"/>
        <v>1215.1259999999966</v>
      </c>
      <c r="G288" s="557">
        <f t="shared" si="37"/>
        <v>30356.874000000003</v>
      </c>
      <c r="H288" s="620">
        <f t="shared" si="38"/>
        <v>4.0028034507110198E-2</v>
      </c>
      <c r="I288" s="557"/>
      <c r="J288" s="557"/>
    </row>
    <row r="289" spans="2:10" x14ac:dyDescent="0.25">
      <c r="B289" s="551">
        <v>42669</v>
      </c>
      <c r="C289" s="556">
        <v>1000</v>
      </c>
      <c r="D289" s="619">
        <v>16.149180000000001</v>
      </c>
      <c r="E289" s="557">
        <v>17.64</v>
      </c>
      <c r="F289" s="557">
        <f t="shared" si="36"/>
        <v>1490.8199999999993</v>
      </c>
      <c r="G289" s="557">
        <f t="shared" si="37"/>
        <v>16149.18</v>
      </c>
      <c r="H289" s="620">
        <f t="shared" si="38"/>
        <v>9.2315523141113007E-2</v>
      </c>
      <c r="I289" s="557"/>
      <c r="J289" s="557"/>
    </row>
    <row r="290" spans="2:10" x14ac:dyDescent="0.25">
      <c r="B290" s="551">
        <v>42670</v>
      </c>
      <c r="C290" s="556">
        <v>1800</v>
      </c>
      <c r="D290" s="619">
        <v>16.753990000000002</v>
      </c>
      <c r="E290" s="557">
        <v>17.53</v>
      </c>
      <c r="F290" s="557">
        <f t="shared" si="36"/>
        <v>1396.8179999999988</v>
      </c>
      <c r="G290" s="557">
        <f t="shared" si="37"/>
        <v>30157.182000000004</v>
      </c>
      <c r="H290" s="620">
        <f t="shared" si="38"/>
        <v>4.6317921880101358E-2</v>
      </c>
      <c r="I290" s="557"/>
      <c r="J290" s="557"/>
    </row>
    <row r="291" spans="2:10" x14ac:dyDescent="0.25">
      <c r="B291" s="551">
        <v>42670</v>
      </c>
      <c r="C291" s="556">
        <v>2000</v>
      </c>
      <c r="D291" s="619">
        <v>16.820589999999999</v>
      </c>
      <c r="E291" s="557">
        <v>17.53</v>
      </c>
      <c r="F291" s="557">
        <f t="shared" si="36"/>
        <v>1418.8200000000038</v>
      </c>
      <c r="G291" s="557">
        <f t="shared" si="37"/>
        <v>33641.18</v>
      </c>
      <c r="H291" s="620">
        <f t="shared" si="38"/>
        <v>4.2175096117318234E-2</v>
      </c>
      <c r="I291" s="624">
        <v>16.8</v>
      </c>
      <c r="J291" s="557"/>
    </row>
    <row r="292" spans="2:10" x14ac:dyDescent="0.25">
      <c r="B292" s="551">
        <v>42671</v>
      </c>
      <c r="C292" s="556">
        <v>2000</v>
      </c>
      <c r="D292" s="619">
        <v>16.752666999999999</v>
      </c>
      <c r="E292" s="557">
        <v>17.2</v>
      </c>
      <c r="F292" s="557">
        <f t="shared" si="36"/>
        <v>894.66600000000085</v>
      </c>
      <c r="G292" s="557">
        <f t="shared" si="37"/>
        <v>33505.333999999995</v>
      </c>
      <c r="H292" s="620">
        <f t="shared" si="38"/>
        <v>2.6702196133905155E-2</v>
      </c>
      <c r="I292" s="624" t="s">
        <v>314</v>
      </c>
      <c r="J292" s="557"/>
    </row>
    <row r="293" spans="2:10" x14ac:dyDescent="0.25">
      <c r="B293" s="551">
        <v>42672</v>
      </c>
      <c r="C293" s="556">
        <v>2000</v>
      </c>
      <c r="D293" s="619">
        <v>16.752666999999999</v>
      </c>
      <c r="E293" s="557">
        <v>17.16</v>
      </c>
      <c r="F293" s="557">
        <f>-C293*(D293-E293)</f>
        <v>814.66600000000255</v>
      </c>
      <c r="G293" s="557">
        <f>IF(C293=0, 0,D293*C293)</f>
        <v>33505.333999999995</v>
      </c>
      <c r="H293" s="620">
        <f>IF(C293=0, D293, (E293-D293)/D293)</f>
        <v>2.4314516608012402E-2</v>
      </c>
      <c r="I293" s="624" t="s">
        <v>314</v>
      </c>
      <c r="J293" s="557"/>
    </row>
    <row r="294" spans="2:10" x14ac:dyDescent="0.25">
      <c r="B294" s="551">
        <v>42675</v>
      </c>
      <c r="C294" s="556">
        <v>2000</v>
      </c>
      <c r="D294" s="619">
        <v>16.742699999999999</v>
      </c>
      <c r="E294" s="557">
        <v>17.2</v>
      </c>
      <c r="F294" s="557">
        <f>-C294*(D294-E294)</f>
        <v>914.60000000000014</v>
      </c>
      <c r="G294" s="557">
        <f>IF(C294=0, 0,D294*C294)</f>
        <v>33485.4</v>
      </c>
      <c r="H294" s="620">
        <f>IF(C294=0, D294, (E294-D294)/D294)</f>
        <v>2.731339628614262E-2</v>
      </c>
      <c r="I294" s="624" t="s">
        <v>314</v>
      </c>
      <c r="J294" s="557"/>
    </row>
    <row r="295" spans="2:10" x14ac:dyDescent="0.25">
      <c r="B295" s="551">
        <v>42676</v>
      </c>
      <c r="C295" s="556">
        <v>2000</v>
      </c>
      <c r="D295" s="619">
        <v>16.742699999999999</v>
      </c>
      <c r="E295" s="557">
        <v>16.675000000000001</v>
      </c>
      <c r="F295" s="557">
        <f t="shared" ref="F295:F306" si="39">-C295*(D295-E295)</f>
        <v>-135.39999999999708</v>
      </c>
      <c r="G295" s="557">
        <f t="shared" ref="G295:G306" si="40">IF(C295=0, 0,D295*C295)</f>
        <v>33485.4</v>
      </c>
      <c r="H295" s="620">
        <f t="shared" ref="H295:H306" si="41">IF(C295=0, D295, (E295-D295)/D295)</f>
        <v>-4.0435533098006019E-3</v>
      </c>
      <c r="I295" s="557"/>
      <c r="J295" s="557"/>
    </row>
    <row r="296" spans="2:10" x14ac:dyDescent="0.25">
      <c r="B296" s="551">
        <v>42678</v>
      </c>
      <c r="C296" s="556">
        <v>2000</v>
      </c>
      <c r="D296" s="619">
        <v>16.7227</v>
      </c>
      <c r="E296" s="557">
        <v>16.68</v>
      </c>
      <c r="F296" s="557">
        <f t="shared" si="39"/>
        <v>-85.39999999999992</v>
      </c>
      <c r="G296" s="557">
        <f t="shared" si="40"/>
        <v>33445.4</v>
      </c>
      <c r="H296" s="620">
        <f t="shared" si="41"/>
        <v>-2.5534154173668102E-3</v>
      </c>
      <c r="I296" s="624" t="s">
        <v>314</v>
      </c>
      <c r="J296" s="557"/>
    </row>
    <row r="297" spans="2:10" x14ac:dyDescent="0.25">
      <c r="B297" s="551">
        <v>42701</v>
      </c>
      <c r="C297" s="556">
        <v>1800</v>
      </c>
      <c r="D297" s="619">
        <v>16.627528999999999</v>
      </c>
      <c r="E297" s="557">
        <v>20.13</v>
      </c>
      <c r="F297" s="557">
        <f t="shared" si="39"/>
        <v>6304.4477999999999</v>
      </c>
      <c r="G297" s="557">
        <f t="shared" si="40"/>
        <v>29929.552199999998</v>
      </c>
      <c r="H297" s="620">
        <f t="shared" si="41"/>
        <v>0.21064290430646671</v>
      </c>
      <c r="I297" s="557"/>
      <c r="J297" s="557"/>
    </row>
    <row r="298" spans="2:10" x14ac:dyDescent="0.25">
      <c r="B298" s="551">
        <v>42702</v>
      </c>
      <c r="C298" s="556">
        <v>1650</v>
      </c>
      <c r="D298" s="619">
        <v>16.310980000000001</v>
      </c>
      <c r="E298" s="557">
        <v>20.059999999999999</v>
      </c>
      <c r="F298" s="557">
        <f t="shared" si="39"/>
        <v>6185.8829999999971</v>
      </c>
      <c r="G298" s="557">
        <f t="shared" si="40"/>
        <v>26913.117000000002</v>
      </c>
      <c r="H298" s="620">
        <f t="shared" si="41"/>
        <v>0.22984639794788528</v>
      </c>
      <c r="I298" s="557"/>
      <c r="J298" s="557"/>
    </row>
    <row r="299" spans="2:10" x14ac:dyDescent="0.25">
      <c r="B299" s="551">
        <v>42705</v>
      </c>
      <c r="C299" s="556">
        <v>1800</v>
      </c>
      <c r="D299" s="619">
        <v>16.541699999999999</v>
      </c>
      <c r="E299" s="557">
        <v>18.48</v>
      </c>
      <c r="F299" s="557">
        <f t="shared" si="39"/>
        <v>3488.9400000000032</v>
      </c>
      <c r="G299" s="557">
        <f t="shared" si="40"/>
        <v>29775.059999999998</v>
      </c>
      <c r="H299" s="620">
        <f t="shared" si="41"/>
        <v>0.11717659007236268</v>
      </c>
      <c r="I299" s="557"/>
      <c r="J299" s="557"/>
    </row>
    <row r="300" spans="2:10" x14ac:dyDescent="0.25">
      <c r="B300" s="551">
        <v>42705</v>
      </c>
      <c r="C300" s="556">
        <v>2000</v>
      </c>
      <c r="D300" s="619">
        <v>16.707599999999999</v>
      </c>
      <c r="E300" s="557">
        <v>18.48</v>
      </c>
      <c r="F300" s="557">
        <f t="shared" si="39"/>
        <v>3544.800000000002</v>
      </c>
      <c r="G300" s="557">
        <f t="shared" si="40"/>
        <v>33415.199999999997</v>
      </c>
      <c r="H300" s="620">
        <f t="shared" si="41"/>
        <v>0.10608345902463556</v>
      </c>
      <c r="I300" s="624">
        <v>16.48</v>
      </c>
      <c r="J300" s="557"/>
    </row>
    <row r="301" spans="2:10" x14ac:dyDescent="0.25">
      <c r="B301" s="551">
        <v>42706</v>
      </c>
      <c r="C301" s="556">
        <v>1800</v>
      </c>
      <c r="D301" s="619">
        <v>16.476199999999999</v>
      </c>
      <c r="E301" s="557">
        <v>18.79</v>
      </c>
      <c r="F301" s="557">
        <f t="shared" si="39"/>
        <v>4164.8400000000011</v>
      </c>
      <c r="G301" s="557">
        <f t="shared" si="40"/>
        <v>29657.159999999996</v>
      </c>
      <c r="H301" s="620">
        <f t="shared" si="41"/>
        <v>0.14043286680181113</v>
      </c>
      <c r="I301" s="557"/>
      <c r="J301" s="557"/>
    </row>
    <row r="302" spans="2:10" x14ac:dyDescent="0.25">
      <c r="B302" s="551">
        <v>42710</v>
      </c>
      <c r="C302" s="556">
        <v>1800</v>
      </c>
      <c r="D302" s="619">
        <v>16.450700000000001</v>
      </c>
      <c r="E302" s="557">
        <v>19.059999999999999</v>
      </c>
      <c r="F302" s="557">
        <f t="shared" si="39"/>
        <v>4696.7399999999952</v>
      </c>
      <c r="G302" s="557">
        <f t="shared" si="40"/>
        <v>29611.260000000002</v>
      </c>
      <c r="H302" s="620">
        <f t="shared" si="41"/>
        <v>0.1586133112876654</v>
      </c>
      <c r="I302" s="557"/>
      <c r="J302" s="557"/>
    </row>
    <row r="303" spans="2:10" x14ac:dyDescent="0.25">
      <c r="B303" s="551">
        <v>42711</v>
      </c>
      <c r="C303" s="556">
        <v>1000</v>
      </c>
      <c r="D303" s="619">
        <v>13.444599999999999</v>
      </c>
      <c r="E303" s="557">
        <v>20.440000000000001</v>
      </c>
      <c r="F303" s="557">
        <f t="shared" si="39"/>
        <v>6995.4000000000015</v>
      </c>
      <c r="G303" s="557">
        <f t="shared" si="40"/>
        <v>13444.599999999999</v>
      </c>
      <c r="H303" s="620">
        <f t="shared" si="41"/>
        <v>0.52031298811418725</v>
      </c>
      <c r="I303" s="557"/>
      <c r="J303" s="557"/>
    </row>
    <row r="304" spans="2:10" x14ac:dyDescent="0.25">
      <c r="B304" s="551">
        <v>42716</v>
      </c>
      <c r="C304" s="556">
        <v>1800</v>
      </c>
      <c r="D304" s="619">
        <v>16.229800000000001</v>
      </c>
      <c r="E304" s="557">
        <v>20.02</v>
      </c>
      <c r="F304" s="557">
        <f t="shared" si="39"/>
        <v>6822.3599999999979</v>
      </c>
      <c r="G304" s="557">
        <f t="shared" si="40"/>
        <v>29213.640000000003</v>
      </c>
      <c r="H304" s="620">
        <f t="shared" si="41"/>
        <v>0.2335333768746379</v>
      </c>
      <c r="I304" s="557"/>
      <c r="J304" s="557"/>
    </row>
    <row r="305" spans="2:10" x14ac:dyDescent="0.25">
      <c r="B305" s="551">
        <v>42716</v>
      </c>
      <c r="C305" s="556">
        <v>1650</v>
      </c>
      <c r="D305" s="619">
        <v>15.888</v>
      </c>
      <c r="E305" s="557">
        <v>20.02</v>
      </c>
      <c r="F305" s="557">
        <f t="shared" si="39"/>
        <v>6817.7999999999993</v>
      </c>
      <c r="G305" s="557">
        <f t="shared" si="40"/>
        <v>26215.200000000001</v>
      </c>
      <c r="H305" s="620">
        <f t="shared" si="41"/>
        <v>0.26007049345417926</v>
      </c>
      <c r="I305" s="557"/>
      <c r="J305" s="557"/>
    </row>
    <row r="306" spans="2:10" x14ac:dyDescent="0.25">
      <c r="B306" s="551">
        <v>42717</v>
      </c>
      <c r="C306" s="556">
        <v>1550</v>
      </c>
      <c r="D306" s="619">
        <v>15.6</v>
      </c>
      <c r="E306" s="557">
        <v>20.13</v>
      </c>
      <c r="F306" s="557">
        <f t="shared" si="39"/>
        <v>7021.4999999999991</v>
      </c>
      <c r="G306" s="557">
        <f t="shared" si="40"/>
        <v>24180</v>
      </c>
      <c r="H306" s="620">
        <f t="shared" si="41"/>
        <v>0.29038461538461535</v>
      </c>
      <c r="I306" s="557"/>
      <c r="J306" s="557"/>
    </row>
    <row r="307" spans="2:10" x14ac:dyDescent="0.25">
      <c r="B307" s="551">
        <v>42726</v>
      </c>
      <c r="C307" s="556">
        <v>1550</v>
      </c>
      <c r="D307" s="619">
        <v>15.6</v>
      </c>
      <c r="E307" s="557">
        <v>23.2</v>
      </c>
      <c r="F307" s="557">
        <f>-C307*(D307-E307)</f>
        <v>11780</v>
      </c>
      <c r="G307" s="557">
        <f>IF(C307=0, 0,D307*C307)</f>
        <v>24180</v>
      </c>
      <c r="H307" s="620">
        <f>IF(C307=0, D307, (E307-D307)/D307)</f>
        <v>0.48717948717948717</v>
      </c>
      <c r="I307" s="557"/>
      <c r="J307" s="557"/>
    </row>
    <row r="308" spans="2:10" x14ac:dyDescent="0.25">
      <c r="B308" s="551">
        <v>42733</v>
      </c>
      <c r="C308" s="556">
        <v>1550</v>
      </c>
      <c r="D308" s="619">
        <v>15.6</v>
      </c>
      <c r="E308" s="557">
        <v>22.27</v>
      </c>
      <c r="F308" s="557">
        <f>-C308*(D308-E308)</f>
        <v>10338.5</v>
      </c>
      <c r="G308" s="557">
        <f>IF(C308=0, 0,D308*C308)</f>
        <v>24180</v>
      </c>
      <c r="H308" s="620">
        <f>IF(C308=0, D308, (E308-D308)/D308)</f>
        <v>0.42756410256410254</v>
      </c>
      <c r="I308" s="557"/>
      <c r="J308" s="557"/>
    </row>
    <row r="309" spans="2:10" x14ac:dyDescent="0.25">
      <c r="B309" s="551">
        <v>42738</v>
      </c>
      <c r="C309" s="556">
        <v>1550</v>
      </c>
      <c r="D309" s="619">
        <v>15.548634</v>
      </c>
      <c r="E309" s="557">
        <v>22.55</v>
      </c>
      <c r="F309" s="557">
        <f>-C309*(D309-E309)</f>
        <v>10852.117300000002</v>
      </c>
      <c r="G309" s="557">
        <f>IF(C309=0, 0,D309*C309)</f>
        <v>24100.382699999998</v>
      </c>
      <c r="H309" s="620">
        <f>IF(C309=0, D309, (E309-D309)/D309)</f>
        <v>0.4502881732247348</v>
      </c>
      <c r="I309" s="557"/>
      <c r="J309" s="557"/>
    </row>
    <row r="310" spans="2:10" x14ac:dyDescent="0.25">
      <c r="B310" s="551"/>
      <c r="C310" s="556"/>
      <c r="D310" s="619"/>
      <c r="E310" s="557"/>
      <c r="F310" s="557"/>
      <c r="G310" s="557"/>
      <c r="H310" s="620"/>
      <c r="I310" s="557"/>
      <c r="J310" s="557"/>
    </row>
    <row r="311" spans="2:10" x14ac:dyDescent="0.25">
      <c r="B311" s="192"/>
      <c r="C311" s="10"/>
      <c r="D311" s="199"/>
      <c r="E311" s="40"/>
      <c r="F311" s="40"/>
      <c r="G311" s="40"/>
      <c r="H311" s="231"/>
      <c r="I311" s="40"/>
      <c r="J311" s="40"/>
    </row>
    <row r="312" spans="2:10" x14ac:dyDescent="0.25">
      <c r="B312" s="192"/>
      <c r="C312" s="10"/>
      <c r="D312" s="199"/>
      <c r="E312" s="40"/>
      <c r="F312" s="40"/>
      <c r="G312" s="40"/>
      <c r="H312" s="231"/>
      <c r="I312" s="40"/>
      <c r="J312" s="40"/>
    </row>
    <row r="313" spans="2:10" x14ac:dyDescent="0.25">
      <c r="B313" s="192"/>
      <c r="C313" s="10"/>
      <c r="D313" s="199"/>
      <c r="E313" s="40"/>
      <c r="F313" s="40"/>
      <c r="G313" s="40"/>
      <c r="H313" s="231"/>
      <c r="I313" s="40"/>
      <c r="J313" s="40"/>
    </row>
    <row r="314" spans="2:10" x14ac:dyDescent="0.25">
      <c r="B314" s="192"/>
      <c r="C314" s="10"/>
      <c r="D314" s="199"/>
      <c r="E314" s="40"/>
      <c r="F314" s="40"/>
      <c r="G314" s="40"/>
      <c r="H314" s="231"/>
      <c r="I314" s="40"/>
      <c r="J314" s="40"/>
    </row>
    <row r="315" spans="2:10" x14ac:dyDescent="0.25">
      <c r="B315" s="192"/>
      <c r="C315" s="10"/>
      <c r="D315" s="199"/>
      <c r="E315" s="40"/>
      <c r="F315" s="40"/>
      <c r="G315" s="40"/>
      <c r="H315" s="231"/>
      <c r="I315" s="40"/>
      <c r="J315" s="40"/>
    </row>
    <row r="316" spans="2:10" x14ac:dyDescent="0.25">
      <c r="B316" s="192"/>
      <c r="C316" s="10"/>
      <c r="D316" s="199"/>
      <c r="E316" s="40"/>
      <c r="F316" s="40"/>
      <c r="G316" s="40"/>
      <c r="H316" s="231"/>
      <c r="I316" s="40"/>
      <c r="J316" s="40"/>
    </row>
    <row r="317" spans="2:10" x14ac:dyDescent="0.25">
      <c r="B317" s="192"/>
      <c r="C317" s="10"/>
      <c r="D317" s="199"/>
      <c r="E317" s="40"/>
      <c r="F317" s="40"/>
      <c r="G317" s="40"/>
      <c r="H317" s="231"/>
      <c r="I317" s="40"/>
      <c r="J317" s="40"/>
    </row>
    <row r="322" spans="1:13" x14ac:dyDescent="0.25">
      <c r="L322" t="s">
        <v>65</v>
      </c>
      <c r="M322" s="2">
        <f>M488+K488-F488</f>
        <v>12550.396999999997</v>
      </c>
    </row>
    <row r="323" spans="1:13" x14ac:dyDescent="0.25">
      <c r="A323" s="32" t="s">
        <v>1</v>
      </c>
      <c r="B323" s="32" t="s">
        <v>2</v>
      </c>
      <c r="C323" s="32" t="s">
        <v>4</v>
      </c>
      <c r="D323" s="32" t="s">
        <v>5</v>
      </c>
      <c r="E323" s="32" t="s">
        <v>94</v>
      </c>
      <c r="F323" s="32" t="s">
        <v>60</v>
      </c>
      <c r="G323" s="32" t="s">
        <v>3</v>
      </c>
      <c r="H323" s="32" t="s">
        <v>6</v>
      </c>
      <c r="I323" s="493" t="s">
        <v>7</v>
      </c>
      <c r="J323" s="493" t="s">
        <v>95</v>
      </c>
      <c r="K323" s="493" t="s">
        <v>61</v>
      </c>
      <c r="L323" s="32" t="s">
        <v>37</v>
      </c>
      <c r="M323" s="32" t="s">
        <v>38</v>
      </c>
    </row>
    <row r="324" spans="1:13" x14ac:dyDescent="0.25">
      <c r="A324" s="264" t="s">
        <v>34</v>
      </c>
      <c r="B324" s="577">
        <v>42166</v>
      </c>
      <c r="C324" s="260">
        <v>5</v>
      </c>
      <c r="D324" s="261">
        <v>26.04</v>
      </c>
      <c r="E324" s="261">
        <v>0</v>
      </c>
      <c r="F324" s="261">
        <f>C324*D324+E324</f>
        <v>130.19999999999999</v>
      </c>
      <c r="G324" s="265">
        <v>42186</v>
      </c>
      <c r="H324" s="260">
        <v>185</v>
      </c>
      <c r="I324" s="261">
        <v>19.75</v>
      </c>
      <c r="J324" s="261">
        <v>7.0000000000000007E-2</v>
      </c>
      <c r="K324" s="261">
        <f t="shared" ref="K324:K382" si="42">H324*I324-J324</f>
        <v>3653.68</v>
      </c>
      <c r="L324" s="260" t="s">
        <v>79</v>
      </c>
      <c r="M324" s="260"/>
    </row>
    <row r="325" spans="1:13" x14ac:dyDescent="0.25">
      <c r="A325" s="267" t="s">
        <v>71</v>
      </c>
      <c r="B325" s="577">
        <v>42167</v>
      </c>
      <c r="C325" s="260">
        <v>10</v>
      </c>
      <c r="D325" s="261">
        <v>25.1</v>
      </c>
      <c r="E325" s="261">
        <v>0</v>
      </c>
      <c r="F325" s="261">
        <f t="shared" ref="F325:F375" si="43">C325*D325+E325</f>
        <v>251</v>
      </c>
      <c r="G325" s="265">
        <v>42207</v>
      </c>
      <c r="H325" s="260">
        <v>20</v>
      </c>
      <c r="I325" s="261">
        <v>19.899999999999999</v>
      </c>
      <c r="J325" s="261">
        <v>0.01</v>
      </c>
      <c r="K325" s="261">
        <f t="shared" si="42"/>
        <v>397.99</v>
      </c>
      <c r="L325" s="260"/>
      <c r="M325" s="260"/>
    </row>
    <row r="326" spans="1:13" x14ac:dyDescent="0.25">
      <c r="A326" s="260"/>
      <c r="B326" s="577">
        <v>42179</v>
      </c>
      <c r="C326" s="260">
        <v>15</v>
      </c>
      <c r="D326" s="261">
        <v>24.51</v>
      </c>
      <c r="E326" s="261">
        <v>0</v>
      </c>
      <c r="F326" s="261">
        <f t="shared" si="43"/>
        <v>367.65000000000003</v>
      </c>
      <c r="G326" s="265">
        <v>42207</v>
      </c>
      <c r="H326" s="260">
        <v>95</v>
      </c>
      <c r="I326" s="261">
        <v>20.02</v>
      </c>
      <c r="J326" s="261">
        <v>0.5</v>
      </c>
      <c r="K326" s="261">
        <f t="shared" si="42"/>
        <v>1901.3999999999999</v>
      </c>
      <c r="L326" s="260"/>
      <c r="M326" s="260"/>
    </row>
    <row r="327" spans="1:13" x14ac:dyDescent="0.25">
      <c r="A327" s="260"/>
      <c r="B327" s="577">
        <v>42180</v>
      </c>
      <c r="C327" s="260">
        <v>100</v>
      </c>
      <c r="D327" s="261">
        <v>23.92</v>
      </c>
      <c r="E327" s="261">
        <v>0</v>
      </c>
      <c r="F327" s="261">
        <f t="shared" si="43"/>
        <v>2392</v>
      </c>
      <c r="G327" s="265">
        <v>42216</v>
      </c>
      <c r="H327" s="260">
        <v>165</v>
      </c>
      <c r="I327" s="261">
        <v>19.899999999999999</v>
      </c>
      <c r="J327" s="261">
        <v>0.06</v>
      </c>
      <c r="K327" s="261">
        <f t="shared" si="42"/>
        <v>3283.4399999999996</v>
      </c>
      <c r="L327" s="260"/>
      <c r="M327" s="260"/>
    </row>
    <row r="328" spans="1:13" x14ac:dyDescent="0.25">
      <c r="A328" s="260"/>
      <c r="B328" s="577">
        <v>42185</v>
      </c>
      <c r="C328" s="260">
        <v>50</v>
      </c>
      <c r="D328" s="261">
        <v>21.21</v>
      </c>
      <c r="E328" s="261">
        <v>0</v>
      </c>
      <c r="F328" s="261">
        <f t="shared" si="43"/>
        <v>1060.5</v>
      </c>
      <c r="G328" s="265">
        <v>42236</v>
      </c>
      <c r="H328" s="260">
        <v>630</v>
      </c>
      <c r="I328" s="261">
        <v>17.199682539682538</v>
      </c>
      <c r="J328" s="261">
        <v>0</v>
      </c>
      <c r="K328" s="261">
        <f t="shared" si="42"/>
        <v>10835.8</v>
      </c>
      <c r="L328" s="260"/>
      <c r="M328" s="260"/>
    </row>
    <row r="329" spans="1:13" x14ac:dyDescent="0.25">
      <c r="A329" s="260"/>
      <c r="B329" s="577">
        <v>42186</v>
      </c>
      <c r="C329" s="260">
        <v>50</v>
      </c>
      <c r="D329" s="261">
        <v>20.5</v>
      </c>
      <c r="E329" s="261">
        <v>0</v>
      </c>
      <c r="F329" s="261">
        <f t="shared" si="43"/>
        <v>1025</v>
      </c>
      <c r="G329" s="265">
        <v>42257</v>
      </c>
      <c r="H329" s="260">
        <v>850</v>
      </c>
      <c r="I329" s="261">
        <v>17.18</v>
      </c>
      <c r="J329" s="261">
        <v>0.27</v>
      </c>
      <c r="K329" s="261">
        <f t="shared" si="42"/>
        <v>14602.73</v>
      </c>
      <c r="L329" s="260"/>
      <c r="M329" s="260"/>
    </row>
    <row r="330" spans="1:13" x14ac:dyDescent="0.25">
      <c r="A330" s="260"/>
      <c r="B330" s="577">
        <v>42186</v>
      </c>
      <c r="C330" s="260">
        <v>170</v>
      </c>
      <c r="D330" s="261">
        <v>19.600000000000001</v>
      </c>
      <c r="E330" s="261">
        <v>0</v>
      </c>
      <c r="F330" s="261">
        <f t="shared" si="43"/>
        <v>3332.0000000000005</v>
      </c>
      <c r="G330" s="265">
        <v>42283</v>
      </c>
      <c r="H330" s="260">
        <v>1580</v>
      </c>
      <c r="I330" s="261">
        <v>15.83</v>
      </c>
      <c r="J330" s="261">
        <v>0.46</v>
      </c>
      <c r="K330" s="261">
        <f t="shared" si="42"/>
        <v>25010.940000000002</v>
      </c>
      <c r="L330" s="260"/>
      <c r="M330" s="260"/>
    </row>
    <row r="331" spans="1:13" x14ac:dyDescent="0.25">
      <c r="A331" s="260"/>
      <c r="B331" s="577">
        <v>42187</v>
      </c>
      <c r="C331" s="260">
        <v>1000</v>
      </c>
      <c r="D331" s="261">
        <v>19.2</v>
      </c>
      <c r="E331" s="261">
        <v>0</v>
      </c>
      <c r="F331" s="261">
        <f t="shared" si="43"/>
        <v>19200</v>
      </c>
      <c r="G331" s="461">
        <v>42285</v>
      </c>
      <c r="H331" s="260">
        <v>1440</v>
      </c>
      <c r="I331" s="261">
        <v>16.75</v>
      </c>
      <c r="J331" s="261">
        <v>0.44</v>
      </c>
      <c r="K331" s="261">
        <f t="shared" si="42"/>
        <v>24119.56</v>
      </c>
      <c r="L331" s="260"/>
      <c r="M331" s="260"/>
    </row>
    <row r="332" spans="1:13" x14ac:dyDescent="0.25">
      <c r="A332" s="260"/>
      <c r="B332" s="577">
        <v>42199</v>
      </c>
      <c r="C332" s="260">
        <v>100</v>
      </c>
      <c r="D332" s="261">
        <v>17.25</v>
      </c>
      <c r="E332" s="261">
        <v>0</v>
      </c>
      <c r="F332" s="261">
        <f t="shared" si="43"/>
        <v>1725</v>
      </c>
      <c r="G332" s="461">
        <v>42291</v>
      </c>
      <c r="H332" s="260">
        <v>410</v>
      </c>
      <c r="I332" s="261">
        <v>18.989999999999998</v>
      </c>
      <c r="J332" s="261">
        <v>0.14000000000000001</v>
      </c>
      <c r="K332" s="261">
        <f t="shared" si="42"/>
        <v>7785.7599999999993</v>
      </c>
      <c r="L332" s="261"/>
      <c r="M332" s="260"/>
    </row>
    <row r="333" spans="1:13" x14ac:dyDescent="0.25">
      <c r="A333" s="260"/>
      <c r="B333" s="577">
        <v>42205</v>
      </c>
      <c r="C333" s="260">
        <v>20</v>
      </c>
      <c r="D333" s="261">
        <v>18.850000000000001</v>
      </c>
      <c r="E333" s="261">
        <v>0</v>
      </c>
      <c r="F333" s="261">
        <f t="shared" si="43"/>
        <v>377</v>
      </c>
      <c r="G333" s="265">
        <v>42296</v>
      </c>
      <c r="H333" s="260">
        <v>2470</v>
      </c>
      <c r="I333" s="261">
        <v>19.100000000000001</v>
      </c>
      <c r="J333" s="261">
        <v>0.87</v>
      </c>
      <c r="K333" s="261">
        <f t="shared" si="42"/>
        <v>47176.13</v>
      </c>
      <c r="L333" s="260"/>
      <c r="M333" s="260"/>
    </row>
    <row r="334" spans="1:13" x14ac:dyDescent="0.25">
      <c r="A334" s="261"/>
      <c r="B334" s="577">
        <v>42208</v>
      </c>
      <c r="C334" s="260">
        <v>80</v>
      </c>
      <c r="D334" s="261">
        <v>18.95</v>
      </c>
      <c r="E334" s="261">
        <v>0</v>
      </c>
      <c r="F334" s="261">
        <f t="shared" si="43"/>
        <v>1516</v>
      </c>
      <c r="G334" s="265">
        <v>42310</v>
      </c>
      <c r="H334" s="260">
        <v>1100</v>
      </c>
      <c r="I334" s="261">
        <v>16.989999999999998</v>
      </c>
      <c r="J334" s="261">
        <v>7.29</v>
      </c>
      <c r="K334" s="261">
        <f t="shared" si="42"/>
        <v>18681.71</v>
      </c>
      <c r="L334" s="260"/>
      <c r="M334" s="260"/>
    </row>
    <row r="335" spans="1:13" x14ac:dyDescent="0.25">
      <c r="A335" s="260"/>
      <c r="B335" s="577">
        <v>42212</v>
      </c>
      <c r="C335" s="260">
        <v>100</v>
      </c>
      <c r="D335" s="261">
        <v>17.95</v>
      </c>
      <c r="E335" s="261">
        <v>0</v>
      </c>
      <c r="F335" s="261">
        <f t="shared" si="43"/>
        <v>1795</v>
      </c>
      <c r="G335" s="707">
        <v>42314</v>
      </c>
      <c r="H335" s="260">
        <v>2200</v>
      </c>
      <c r="I335" s="261">
        <v>17.55</v>
      </c>
      <c r="J335" s="261">
        <v>0.77</v>
      </c>
      <c r="K335" s="261">
        <f t="shared" si="42"/>
        <v>38609.230000000003</v>
      </c>
      <c r="L335" s="260"/>
      <c r="M335" s="260"/>
    </row>
    <row r="336" spans="1:13" x14ac:dyDescent="0.25">
      <c r="A336" s="260"/>
      <c r="B336" s="577">
        <v>42221</v>
      </c>
      <c r="C336" s="260">
        <v>65</v>
      </c>
      <c r="D336" s="261">
        <v>19.100000000000001</v>
      </c>
      <c r="E336" s="261">
        <v>0</v>
      </c>
      <c r="F336" s="261">
        <f t="shared" si="43"/>
        <v>1241.5</v>
      </c>
      <c r="G336" s="707"/>
      <c r="H336" s="260">
        <v>190</v>
      </c>
      <c r="I336" s="261">
        <v>17.55</v>
      </c>
      <c r="J336" s="261">
        <v>0</v>
      </c>
      <c r="K336" s="261">
        <f t="shared" si="42"/>
        <v>3334.5</v>
      </c>
      <c r="L336" s="260"/>
      <c r="M336" s="260"/>
    </row>
    <row r="337" spans="1:13" x14ac:dyDescent="0.25">
      <c r="A337" s="260"/>
      <c r="B337" s="577">
        <v>42221</v>
      </c>
      <c r="C337" s="260">
        <v>300</v>
      </c>
      <c r="D337" s="261">
        <v>18.600000000000001</v>
      </c>
      <c r="E337" s="261">
        <v>0</v>
      </c>
      <c r="F337" s="261">
        <f t="shared" si="43"/>
        <v>5580</v>
      </c>
      <c r="G337" s="265">
        <v>42320</v>
      </c>
      <c r="H337" s="260">
        <v>1000</v>
      </c>
      <c r="I337" s="261">
        <v>16.734999999999999</v>
      </c>
      <c r="J337" s="261">
        <v>0.31</v>
      </c>
      <c r="K337" s="261">
        <f t="shared" si="42"/>
        <v>16734.689999999999</v>
      </c>
      <c r="L337" s="260"/>
      <c r="M337" s="260"/>
    </row>
    <row r="338" spans="1:13" x14ac:dyDescent="0.25">
      <c r="A338" s="260"/>
      <c r="B338" s="577">
        <v>42221</v>
      </c>
      <c r="C338" s="260">
        <v>200</v>
      </c>
      <c r="D338" s="261">
        <v>18.5</v>
      </c>
      <c r="E338" s="261">
        <v>0</v>
      </c>
      <c r="F338" s="261">
        <f t="shared" si="43"/>
        <v>3700</v>
      </c>
      <c r="G338" s="265">
        <v>42328</v>
      </c>
      <c r="H338" s="260">
        <v>940</v>
      </c>
      <c r="I338" s="261">
        <v>15.51</v>
      </c>
      <c r="J338" s="261">
        <v>0.27</v>
      </c>
      <c r="K338" s="261">
        <f t="shared" si="42"/>
        <v>14579.13</v>
      </c>
      <c r="L338" s="260"/>
      <c r="M338" s="260"/>
    </row>
    <row r="339" spans="1:13" x14ac:dyDescent="0.25">
      <c r="A339" s="260"/>
      <c r="B339" s="577">
        <v>42223</v>
      </c>
      <c r="C339" s="260">
        <v>50</v>
      </c>
      <c r="D339" s="261">
        <v>18.75</v>
      </c>
      <c r="E339" s="261">
        <v>0</v>
      </c>
      <c r="F339" s="261">
        <f t="shared" si="43"/>
        <v>937.5</v>
      </c>
      <c r="G339" s="265">
        <v>42335</v>
      </c>
      <c r="H339" s="260">
        <v>940</v>
      </c>
      <c r="I339" s="261">
        <v>15.62</v>
      </c>
      <c r="J339" s="261">
        <v>0.27</v>
      </c>
      <c r="K339" s="261">
        <f t="shared" si="42"/>
        <v>14682.529999999999</v>
      </c>
      <c r="L339" s="260"/>
      <c r="M339" s="260"/>
    </row>
    <row r="340" spans="1:13" x14ac:dyDescent="0.25">
      <c r="A340" s="260"/>
      <c r="B340" s="577">
        <v>42227</v>
      </c>
      <c r="C340" s="260">
        <v>50</v>
      </c>
      <c r="D340" s="261">
        <v>18.45</v>
      </c>
      <c r="E340" s="261">
        <v>0</v>
      </c>
      <c r="F340" s="261">
        <f t="shared" si="43"/>
        <v>922.5</v>
      </c>
      <c r="G340" s="265">
        <v>42341</v>
      </c>
      <c r="H340" s="260">
        <v>350</v>
      </c>
      <c r="I340" s="261">
        <v>16.03</v>
      </c>
      <c r="J340" s="261">
        <v>0.1</v>
      </c>
      <c r="K340" s="261">
        <f t="shared" si="42"/>
        <v>5610.4</v>
      </c>
      <c r="L340" s="260"/>
      <c r="M340" s="260"/>
    </row>
    <row r="341" spans="1:13" x14ac:dyDescent="0.25">
      <c r="A341" s="260"/>
      <c r="B341" s="577">
        <v>42228</v>
      </c>
      <c r="C341" s="260">
        <v>100</v>
      </c>
      <c r="D341" s="261">
        <v>18.45</v>
      </c>
      <c r="E341" s="261">
        <v>0</v>
      </c>
      <c r="F341" s="261">
        <f t="shared" si="43"/>
        <v>1845</v>
      </c>
      <c r="G341" s="265">
        <v>42346</v>
      </c>
      <c r="H341" s="260">
        <v>200</v>
      </c>
      <c r="I341" s="261">
        <v>16.2</v>
      </c>
      <c r="J341" s="261">
        <v>0.06</v>
      </c>
      <c r="K341" s="261">
        <f t="shared" si="42"/>
        <v>3239.94</v>
      </c>
      <c r="L341" s="260"/>
      <c r="M341" s="260"/>
    </row>
    <row r="342" spans="1:13" x14ac:dyDescent="0.25">
      <c r="A342" s="260"/>
      <c r="B342" s="577">
        <v>42228</v>
      </c>
      <c r="C342" s="260">
        <v>200</v>
      </c>
      <c r="D342" s="261">
        <v>18.190000000000001</v>
      </c>
      <c r="E342" s="261">
        <v>0</v>
      </c>
      <c r="F342" s="261">
        <f t="shared" si="43"/>
        <v>3638.0000000000005</v>
      </c>
      <c r="G342" s="265">
        <v>42353</v>
      </c>
      <c r="H342" s="260">
        <v>200</v>
      </c>
      <c r="I342" s="261">
        <v>14.74</v>
      </c>
      <c r="J342" s="261">
        <v>0.05</v>
      </c>
      <c r="K342" s="261">
        <f t="shared" si="42"/>
        <v>2947.95</v>
      </c>
      <c r="L342" s="260"/>
      <c r="M342" s="260"/>
    </row>
    <row r="343" spans="1:13" x14ac:dyDescent="0.25">
      <c r="A343" s="260"/>
      <c r="B343" s="577">
        <v>42228</v>
      </c>
      <c r="C343" s="260">
        <v>200</v>
      </c>
      <c r="D343" s="261">
        <v>18.100000000000001</v>
      </c>
      <c r="E343" s="261">
        <v>0</v>
      </c>
      <c r="F343" s="261">
        <f t="shared" si="43"/>
        <v>3620.0000000000005</v>
      </c>
      <c r="G343" s="265">
        <v>42354</v>
      </c>
      <c r="H343" s="260">
        <v>940</v>
      </c>
      <c r="I343" s="261">
        <v>14.15</v>
      </c>
      <c r="J343" s="261">
        <v>0.24</v>
      </c>
      <c r="K343" s="261">
        <f t="shared" si="42"/>
        <v>13300.76</v>
      </c>
      <c r="L343" s="260"/>
      <c r="M343" s="260"/>
    </row>
    <row r="344" spans="1:13" x14ac:dyDescent="0.25">
      <c r="A344" s="260"/>
      <c r="B344" s="577">
        <v>42229</v>
      </c>
      <c r="C344" s="260">
        <v>100</v>
      </c>
      <c r="D344" s="261">
        <v>18.329999999999998</v>
      </c>
      <c r="E344" s="261">
        <v>0</v>
      </c>
      <c r="F344" s="261">
        <f t="shared" si="43"/>
        <v>1832.9999999999998</v>
      </c>
      <c r="G344" s="265">
        <v>42354</v>
      </c>
      <c r="H344" s="260">
        <v>1140</v>
      </c>
      <c r="I344" s="261">
        <v>14.06</v>
      </c>
      <c r="J344" s="261">
        <v>1.86</v>
      </c>
      <c r="K344" s="261">
        <f t="shared" si="42"/>
        <v>16026.54</v>
      </c>
      <c r="L344" s="260"/>
      <c r="M344" s="260"/>
    </row>
    <row r="345" spans="1:13" x14ac:dyDescent="0.25">
      <c r="A345" s="260"/>
      <c r="B345" s="577">
        <v>42230</v>
      </c>
      <c r="C345" s="260">
        <v>100</v>
      </c>
      <c r="D345" s="261">
        <v>18</v>
      </c>
      <c r="E345" s="261">
        <v>0</v>
      </c>
      <c r="F345" s="261">
        <f t="shared" si="43"/>
        <v>1800</v>
      </c>
      <c r="G345" s="265">
        <v>42355</v>
      </c>
      <c r="H345" s="260">
        <v>1840</v>
      </c>
      <c r="I345" s="261">
        <v>14.55</v>
      </c>
      <c r="J345" s="261">
        <v>0.49</v>
      </c>
      <c r="K345" s="261">
        <f t="shared" si="42"/>
        <v>26771.51</v>
      </c>
      <c r="L345" s="260"/>
      <c r="M345" s="260"/>
    </row>
    <row r="346" spans="1:13" x14ac:dyDescent="0.25">
      <c r="A346" s="260"/>
      <c r="B346" s="577">
        <v>42230</v>
      </c>
      <c r="C346" s="260">
        <v>200</v>
      </c>
      <c r="D346" s="261">
        <v>17.78</v>
      </c>
      <c r="E346" s="261">
        <v>0</v>
      </c>
      <c r="F346" s="261">
        <f t="shared" si="43"/>
        <v>3556</v>
      </c>
      <c r="G346" s="265">
        <v>42361</v>
      </c>
      <c r="H346" s="260">
        <v>1000</v>
      </c>
      <c r="I346" s="261">
        <v>14.39</v>
      </c>
      <c r="J346" s="261">
        <v>0.27</v>
      </c>
      <c r="K346" s="261">
        <f t="shared" si="42"/>
        <v>14389.73</v>
      </c>
      <c r="L346" s="260"/>
      <c r="M346" s="260"/>
    </row>
    <row r="347" spans="1:13" x14ac:dyDescent="0.25">
      <c r="A347" s="260"/>
      <c r="B347" s="577">
        <v>42234</v>
      </c>
      <c r="C347" s="260">
        <v>100</v>
      </c>
      <c r="D347" s="261">
        <v>17.75</v>
      </c>
      <c r="E347" s="261">
        <v>0</v>
      </c>
      <c r="F347" s="261">
        <f t="shared" si="43"/>
        <v>1775</v>
      </c>
      <c r="G347" s="265">
        <v>42361</v>
      </c>
      <c r="H347" s="260">
        <v>500</v>
      </c>
      <c r="I347" s="261">
        <v>14.4</v>
      </c>
      <c r="J347" s="261">
        <v>0.14000000000000001</v>
      </c>
      <c r="K347" s="261">
        <f t="shared" si="42"/>
        <v>7199.86</v>
      </c>
      <c r="L347" s="260"/>
      <c r="M347" s="260"/>
    </row>
    <row r="348" spans="1:13" x14ac:dyDescent="0.25">
      <c r="A348" s="260"/>
      <c r="B348" s="577">
        <v>42235</v>
      </c>
      <c r="C348" s="260">
        <v>100</v>
      </c>
      <c r="D348" s="261">
        <v>17.350000000000001</v>
      </c>
      <c r="E348" s="261">
        <v>0</v>
      </c>
      <c r="F348" s="261">
        <f t="shared" si="43"/>
        <v>1735.0000000000002</v>
      </c>
      <c r="G348" s="265">
        <v>42362</v>
      </c>
      <c r="H348" s="260">
        <v>440</v>
      </c>
      <c r="I348" s="261">
        <v>14.66</v>
      </c>
      <c r="J348" s="261">
        <v>0.12</v>
      </c>
      <c r="K348" s="261">
        <f t="shared" si="42"/>
        <v>6450.28</v>
      </c>
      <c r="L348" s="260"/>
      <c r="M348" s="260"/>
    </row>
    <row r="349" spans="1:13" x14ac:dyDescent="0.25">
      <c r="A349" s="260"/>
      <c r="B349" s="577">
        <v>42235</v>
      </c>
      <c r="C349" s="260">
        <v>100</v>
      </c>
      <c r="D349" s="261">
        <v>17.55</v>
      </c>
      <c r="E349" s="261">
        <v>0</v>
      </c>
      <c r="F349" s="261">
        <f t="shared" si="43"/>
        <v>1755</v>
      </c>
      <c r="G349" s="265">
        <v>42362</v>
      </c>
      <c r="H349" s="260">
        <v>1000</v>
      </c>
      <c r="I349" s="261">
        <v>14.76</v>
      </c>
      <c r="J349" s="261">
        <v>0.27</v>
      </c>
      <c r="K349" s="261">
        <f t="shared" si="42"/>
        <v>14759.73</v>
      </c>
      <c r="L349" s="260"/>
      <c r="M349" s="260"/>
    </row>
    <row r="350" spans="1:13" x14ac:dyDescent="0.25">
      <c r="A350" s="260"/>
      <c r="B350" s="577">
        <v>42235</v>
      </c>
      <c r="C350" s="260">
        <v>100</v>
      </c>
      <c r="D350" s="261">
        <v>17.170000000000002</v>
      </c>
      <c r="E350" s="261">
        <v>0</v>
      </c>
      <c r="F350" s="261">
        <f t="shared" si="43"/>
        <v>1717.0000000000002</v>
      </c>
      <c r="G350" s="265">
        <v>42398</v>
      </c>
      <c r="H350" s="260">
        <v>260</v>
      </c>
      <c r="I350" s="261">
        <v>10.78</v>
      </c>
      <c r="J350" s="261">
        <v>0.05</v>
      </c>
      <c r="K350" s="261">
        <f t="shared" si="42"/>
        <v>2802.7499999999995</v>
      </c>
      <c r="L350" s="260"/>
      <c r="M350" s="260"/>
    </row>
    <row r="351" spans="1:13" x14ac:dyDescent="0.25">
      <c r="A351" s="260"/>
      <c r="B351" s="577">
        <v>42235</v>
      </c>
      <c r="C351" s="260">
        <v>100</v>
      </c>
      <c r="D351" s="261">
        <v>17</v>
      </c>
      <c r="E351" s="261">
        <v>0</v>
      </c>
      <c r="F351" s="261">
        <f t="shared" si="43"/>
        <v>1700</v>
      </c>
      <c r="G351" s="265">
        <v>42418</v>
      </c>
      <c r="H351" s="260">
        <v>500</v>
      </c>
      <c r="I351" s="261">
        <v>10.67</v>
      </c>
      <c r="J351" s="261">
        <v>0.12</v>
      </c>
      <c r="K351" s="261">
        <f t="shared" si="42"/>
        <v>5334.88</v>
      </c>
      <c r="L351" s="260"/>
      <c r="M351" s="260"/>
    </row>
    <row r="352" spans="1:13" x14ac:dyDescent="0.25">
      <c r="A352" s="260"/>
      <c r="B352" s="577">
        <v>42236</v>
      </c>
      <c r="C352" s="260">
        <v>100</v>
      </c>
      <c r="D352" s="261">
        <v>16.559999999999999</v>
      </c>
      <c r="E352" s="261">
        <v>0</v>
      </c>
      <c r="F352" s="261">
        <f t="shared" si="43"/>
        <v>1655.9999999999998</v>
      </c>
      <c r="G352" s="265">
        <v>42418</v>
      </c>
      <c r="H352" s="260">
        <v>760</v>
      </c>
      <c r="I352" s="261">
        <v>10.85</v>
      </c>
      <c r="J352" s="261">
        <v>0.18</v>
      </c>
      <c r="K352" s="261">
        <f t="shared" si="42"/>
        <v>8245.82</v>
      </c>
      <c r="L352" s="260"/>
      <c r="M352" s="260"/>
    </row>
    <row r="353" spans="1:13" x14ac:dyDescent="0.25">
      <c r="A353" s="260"/>
      <c r="B353" s="577">
        <v>42236</v>
      </c>
      <c r="C353" s="260">
        <v>200</v>
      </c>
      <c r="D353" s="261">
        <v>16.21</v>
      </c>
      <c r="E353" s="261">
        <v>0</v>
      </c>
      <c r="F353" s="261">
        <f t="shared" si="43"/>
        <v>3242</v>
      </c>
      <c r="G353" s="265">
        <v>42418</v>
      </c>
      <c r="H353" s="260">
        <v>200</v>
      </c>
      <c r="I353" s="261">
        <v>11.46</v>
      </c>
      <c r="J353" s="261">
        <v>0.21</v>
      </c>
      <c r="K353" s="261">
        <f t="shared" si="42"/>
        <v>2291.79</v>
      </c>
      <c r="L353" s="260"/>
      <c r="M353" s="260"/>
    </row>
    <row r="354" spans="1:13" x14ac:dyDescent="0.25">
      <c r="A354" s="260"/>
      <c r="B354" s="577">
        <v>42236</v>
      </c>
      <c r="C354" s="260">
        <v>100</v>
      </c>
      <c r="D354" s="261">
        <v>16.399999999999999</v>
      </c>
      <c r="E354" s="261">
        <v>0</v>
      </c>
      <c r="F354" s="261">
        <f t="shared" si="43"/>
        <v>1639.9999999999998</v>
      </c>
      <c r="G354" s="265">
        <v>42418</v>
      </c>
      <c r="H354" s="266">
        <v>200</v>
      </c>
      <c r="I354" s="261">
        <v>11.7</v>
      </c>
      <c r="J354" s="261">
        <v>0.05</v>
      </c>
      <c r="K354" s="261">
        <f t="shared" si="42"/>
        <v>2339.9499999999998</v>
      </c>
      <c r="L354" s="260"/>
      <c r="M354" s="260"/>
    </row>
    <row r="355" spans="1:13" x14ac:dyDescent="0.25">
      <c r="A355" s="260"/>
      <c r="B355" s="577">
        <v>42237</v>
      </c>
      <c r="C355" s="260">
        <v>200</v>
      </c>
      <c r="D355" s="261">
        <v>16.32</v>
      </c>
      <c r="E355" s="261">
        <v>0</v>
      </c>
      <c r="F355" s="261">
        <f t="shared" si="43"/>
        <v>3264</v>
      </c>
      <c r="G355" s="265">
        <v>42431</v>
      </c>
      <c r="H355" s="266">
        <v>500</v>
      </c>
      <c r="I355" s="261">
        <v>11.57</v>
      </c>
      <c r="J355" s="261">
        <v>0.13</v>
      </c>
      <c r="K355" s="261">
        <f t="shared" si="42"/>
        <v>5784.87</v>
      </c>
      <c r="L355" s="260"/>
      <c r="M355" s="260"/>
    </row>
    <row r="356" spans="1:13" x14ac:dyDescent="0.25">
      <c r="A356" s="260"/>
      <c r="B356" s="577">
        <v>42237</v>
      </c>
      <c r="C356" s="260">
        <v>100</v>
      </c>
      <c r="D356" s="261">
        <v>16.420000000000002</v>
      </c>
      <c r="E356" s="261">
        <v>0</v>
      </c>
      <c r="F356" s="261">
        <f t="shared" si="43"/>
        <v>1642.0000000000002</v>
      </c>
      <c r="G356" s="265">
        <v>42436</v>
      </c>
      <c r="H356" s="266">
        <v>520</v>
      </c>
      <c r="I356" s="261">
        <v>11.59</v>
      </c>
      <c r="J356" s="261">
        <v>0.13</v>
      </c>
      <c r="K356" s="261">
        <f t="shared" si="42"/>
        <v>6026.67</v>
      </c>
      <c r="L356" s="260"/>
      <c r="M356" s="260"/>
    </row>
    <row r="357" spans="1:13" x14ac:dyDescent="0.25">
      <c r="A357" s="260"/>
      <c r="B357" s="577">
        <v>42240</v>
      </c>
      <c r="C357" s="260">
        <v>200</v>
      </c>
      <c r="D357" s="261">
        <v>16.27</v>
      </c>
      <c r="E357" s="261">
        <v>0</v>
      </c>
      <c r="F357" s="261">
        <f t="shared" si="43"/>
        <v>3254</v>
      </c>
      <c r="G357" s="265">
        <v>42446</v>
      </c>
      <c r="H357" s="266">
        <v>500</v>
      </c>
      <c r="I357" s="261">
        <v>10.95</v>
      </c>
      <c r="J357" s="261">
        <v>0.12</v>
      </c>
      <c r="K357" s="261">
        <f t="shared" si="42"/>
        <v>5474.88</v>
      </c>
      <c r="L357" s="260"/>
      <c r="M357" s="260"/>
    </row>
    <row r="358" spans="1:13" x14ac:dyDescent="0.25">
      <c r="A358" s="260"/>
      <c r="B358" s="577">
        <v>42240</v>
      </c>
      <c r="C358" s="260">
        <v>200</v>
      </c>
      <c r="D358" s="261">
        <v>16.2</v>
      </c>
      <c r="E358" s="261">
        <v>0</v>
      </c>
      <c r="F358" s="261">
        <f t="shared" si="43"/>
        <v>3240</v>
      </c>
      <c r="G358" s="265">
        <v>42447</v>
      </c>
      <c r="H358" s="266">
        <v>2000</v>
      </c>
      <c r="I358" s="261">
        <v>11.12</v>
      </c>
      <c r="J358" s="261">
        <v>0.48</v>
      </c>
      <c r="K358" s="261">
        <f t="shared" si="42"/>
        <v>22239.52</v>
      </c>
      <c r="L358" s="260"/>
      <c r="M358" s="260"/>
    </row>
    <row r="359" spans="1:13" x14ac:dyDescent="0.25">
      <c r="A359" s="260"/>
      <c r="B359" s="577">
        <v>42240</v>
      </c>
      <c r="C359" s="260">
        <v>100</v>
      </c>
      <c r="D359" s="261">
        <v>16.100000000000001</v>
      </c>
      <c r="E359" s="261">
        <v>0</v>
      </c>
      <c r="F359" s="261">
        <f t="shared" si="43"/>
        <v>1610.0000000000002</v>
      </c>
      <c r="G359" s="707">
        <v>42447</v>
      </c>
      <c r="H359" s="266">
        <v>355</v>
      </c>
      <c r="I359" s="261">
        <v>11.13</v>
      </c>
      <c r="J359" s="261">
        <v>0.12</v>
      </c>
      <c r="K359" s="261">
        <f t="shared" si="42"/>
        <v>3951.03</v>
      </c>
      <c r="L359" s="260"/>
      <c r="M359" s="260"/>
    </row>
    <row r="360" spans="1:13" x14ac:dyDescent="0.25">
      <c r="A360" s="260"/>
      <c r="B360" s="577">
        <v>42269</v>
      </c>
      <c r="C360" s="260">
        <v>800</v>
      </c>
      <c r="D360" s="261">
        <v>16.399999999999999</v>
      </c>
      <c r="E360" s="261">
        <v>0</v>
      </c>
      <c r="F360" s="261">
        <f t="shared" si="43"/>
        <v>13119.999999999998</v>
      </c>
      <c r="G360" s="707"/>
      <c r="H360" s="266">
        <v>40</v>
      </c>
      <c r="I360" s="261">
        <v>11.13</v>
      </c>
      <c r="J360" s="261">
        <v>0</v>
      </c>
      <c r="K360" s="261">
        <f t="shared" si="42"/>
        <v>445.20000000000005</v>
      </c>
      <c r="L360" s="260"/>
      <c r="M360" s="260"/>
    </row>
    <row r="361" spans="1:13" x14ac:dyDescent="0.25">
      <c r="A361" s="260"/>
      <c r="B361" s="577">
        <v>42270</v>
      </c>
      <c r="C361" s="260">
        <v>500</v>
      </c>
      <c r="D361" s="261">
        <v>15.8</v>
      </c>
      <c r="E361" s="261">
        <v>0</v>
      </c>
      <c r="F361" s="261">
        <f t="shared" si="43"/>
        <v>7900</v>
      </c>
      <c r="G361" s="707"/>
      <c r="H361" s="266">
        <v>105</v>
      </c>
      <c r="I361" s="261">
        <v>11.13</v>
      </c>
      <c r="J361" s="261">
        <v>0</v>
      </c>
      <c r="K361" s="261">
        <f t="shared" si="42"/>
        <v>1168.6500000000001</v>
      </c>
      <c r="L361" s="260"/>
      <c r="M361" s="260"/>
    </row>
    <row r="362" spans="1:13" x14ac:dyDescent="0.25">
      <c r="A362" s="260"/>
      <c r="B362" s="577">
        <v>42270</v>
      </c>
      <c r="C362" s="260">
        <v>1000</v>
      </c>
      <c r="D362" s="261">
        <v>15.6</v>
      </c>
      <c r="E362" s="261">
        <v>0</v>
      </c>
      <c r="F362" s="261">
        <f t="shared" si="43"/>
        <v>15600</v>
      </c>
      <c r="G362" s="265">
        <v>42450</v>
      </c>
      <c r="H362" s="266">
        <v>1300</v>
      </c>
      <c r="I362" s="261">
        <v>11.59</v>
      </c>
      <c r="J362" s="261">
        <v>0.33</v>
      </c>
      <c r="K362" s="261">
        <f t="shared" si="42"/>
        <v>15066.67</v>
      </c>
      <c r="L362" s="260"/>
      <c r="M362" s="260"/>
    </row>
    <row r="363" spans="1:13" x14ac:dyDescent="0.25">
      <c r="A363" s="260"/>
      <c r="B363" s="577">
        <v>42270</v>
      </c>
      <c r="C363" s="260">
        <v>180</v>
      </c>
      <c r="D363" s="261">
        <v>15.4</v>
      </c>
      <c r="E363" s="261">
        <v>0</v>
      </c>
      <c r="F363" s="261">
        <f t="shared" si="43"/>
        <v>2772</v>
      </c>
      <c r="G363" s="265">
        <v>42461</v>
      </c>
      <c r="H363" s="266">
        <v>100</v>
      </c>
      <c r="I363" s="261">
        <v>10.92</v>
      </c>
      <c r="J363" s="261">
        <v>0.02</v>
      </c>
      <c r="K363" s="261">
        <f t="shared" si="42"/>
        <v>1091.98</v>
      </c>
      <c r="L363" s="260"/>
      <c r="M363" s="260"/>
    </row>
    <row r="364" spans="1:13" x14ac:dyDescent="0.25">
      <c r="A364" s="260"/>
      <c r="B364" s="577">
        <v>42275</v>
      </c>
      <c r="C364" s="260">
        <v>200</v>
      </c>
      <c r="D364" s="261">
        <v>15</v>
      </c>
      <c r="E364" s="261">
        <v>0</v>
      </c>
      <c r="F364" s="261">
        <f t="shared" si="43"/>
        <v>3000</v>
      </c>
      <c r="G364" s="265">
        <v>42468</v>
      </c>
      <c r="H364" s="266">
        <v>500</v>
      </c>
      <c r="I364" s="261">
        <v>10.83</v>
      </c>
      <c r="J364" s="261">
        <v>0.12</v>
      </c>
      <c r="K364" s="261">
        <f t="shared" si="42"/>
        <v>5414.88</v>
      </c>
      <c r="L364" s="260"/>
      <c r="M364" s="260"/>
    </row>
    <row r="365" spans="1:13" x14ac:dyDescent="0.25">
      <c r="A365" s="260"/>
      <c r="B365" s="577">
        <v>42277</v>
      </c>
      <c r="C365" s="260">
        <v>200</v>
      </c>
      <c r="D365" s="261">
        <v>14.75</v>
      </c>
      <c r="E365" s="261">
        <v>0</v>
      </c>
      <c r="F365" s="261">
        <f t="shared" si="43"/>
        <v>2950</v>
      </c>
      <c r="G365" s="265">
        <v>42473</v>
      </c>
      <c r="H365" s="266">
        <v>600</v>
      </c>
      <c r="I365" s="261">
        <v>10.76</v>
      </c>
      <c r="J365" s="261">
        <v>0.14000000000000001</v>
      </c>
      <c r="K365" s="261">
        <f t="shared" si="42"/>
        <v>6455.86</v>
      </c>
      <c r="L365" s="260"/>
      <c r="M365" s="261"/>
    </row>
    <row r="366" spans="1:13" x14ac:dyDescent="0.25">
      <c r="A366" s="260"/>
      <c r="B366" s="577">
        <v>42291</v>
      </c>
      <c r="C366" s="260">
        <v>400</v>
      </c>
      <c r="D366" s="261">
        <v>18.7</v>
      </c>
      <c r="E366" s="261">
        <v>0</v>
      </c>
      <c r="F366" s="261">
        <f t="shared" si="43"/>
        <v>7480</v>
      </c>
      <c r="G366" s="265">
        <v>42486</v>
      </c>
      <c r="H366" s="266">
        <v>500</v>
      </c>
      <c r="I366" s="261">
        <v>11.19</v>
      </c>
      <c r="J366" s="261">
        <v>0.12</v>
      </c>
      <c r="K366" s="261">
        <f t="shared" si="42"/>
        <v>5594.88</v>
      </c>
      <c r="L366" s="260"/>
      <c r="M366" s="260"/>
    </row>
    <row r="367" spans="1:13" x14ac:dyDescent="0.25">
      <c r="A367" s="260"/>
      <c r="B367" s="577">
        <v>42297</v>
      </c>
      <c r="C367" s="260">
        <v>2000</v>
      </c>
      <c r="D367" s="261">
        <v>18.649999999999999</v>
      </c>
      <c r="E367" s="261">
        <v>0</v>
      </c>
      <c r="F367" s="261">
        <f t="shared" si="43"/>
        <v>37300</v>
      </c>
      <c r="G367" s="265">
        <v>42486</v>
      </c>
      <c r="H367" s="266">
        <v>500</v>
      </c>
      <c r="I367" s="261">
        <v>11.56</v>
      </c>
      <c r="J367" s="261">
        <v>0.13</v>
      </c>
      <c r="K367" s="261">
        <f t="shared" si="42"/>
        <v>5779.87</v>
      </c>
      <c r="L367" s="260"/>
      <c r="M367" s="260"/>
    </row>
    <row r="368" spans="1:13" x14ac:dyDescent="0.25">
      <c r="A368" s="260"/>
      <c r="B368" s="577">
        <v>42300</v>
      </c>
      <c r="C368" s="260">
        <v>1000</v>
      </c>
      <c r="D368" s="261">
        <v>17.7</v>
      </c>
      <c r="E368" s="261">
        <v>0</v>
      </c>
      <c r="F368" s="261">
        <f t="shared" si="43"/>
        <v>17700</v>
      </c>
      <c r="G368" s="265">
        <v>42488</v>
      </c>
      <c r="H368" s="266">
        <v>600</v>
      </c>
      <c r="I368" s="261">
        <v>12.19</v>
      </c>
      <c r="J368" s="261">
        <v>0.16</v>
      </c>
      <c r="K368" s="261">
        <f t="shared" si="42"/>
        <v>7313.84</v>
      </c>
      <c r="L368" s="260"/>
      <c r="M368" s="260"/>
    </row>
    <row r="369" spans="1:13" x14ac:dyDescent="0.25">
      <c r="A369" s="260"/>
      <c r="B369" s="577">
        <v>42300</v>
      </c>
      <c r="C369" s="260">
        <v>700</v>
      </c>
      <c r="D369" s="261">
        <v>17.22</v>
      </c>
      <c r="E369" s="261">
        <v>0</v>
      </c>
      <c r="F369" s="261">
        <f t="shared" si="43"/>
        <v>12054</v>
      </c>
      <c r="G369" s="265">
        <v>42488</v>
      </c>
      <c r="H369" s="266">
        <v>600</v>
      </c>
      <c r="I369" s="261">
        <v>12.4</v>
      </c>
      <c r="J369" s="261">
        <v>2.2599999999999998</v>
      </c>
      <c r="K369" s="261">
        <f t="shared" si="42"/>
        <v>7437.74</v>
      </c>
      <c r="L369" s="260"/>
      <c r="M369" s="260"/>
    </row>
    <row r="370" spans="1:13" x14ac:dyDescent="0.25">
      <c r="A370" s="260"/>
      <c r="B370" s="577">
        <v>42300</v>
      </c>
      <c r="C370" s="260">
        <v>1000</v>
      </c>
      <c r="D370" s="261">
        <v>16.999500000000001</v>
      </c>
      <c r="E370" s="261">
        <v>0</v>
      </c>
      <c r="F370" s="261">
        <f t="shared" si="43"/>
        <v>16999.5</v>
      </c>
      <c r="G370" s="265">
        <v>42495</v>
      </c>
      <c r="H370" s="266">
        <v>1000</v>
      </c>
      <c r="I370" s="261">
        <v>10.31</v>
      </c>
      <c r="J370" s="261">
        <v>0.22</v>
      </c>
      <c r="K370" s="261">
        <f t="shared" si="42"/>
        <v>10309.780000000001</v>
      </c>
      <c r="L370" s="260"/>
      <c r="M370" s="260"/>
    </row>
    <row r="371" spans="1:13" x14ac:dyDescent="0.25">
      <c r="A371" s="260"/>
      <c r="B371" s="577">
        <v>42310</v>
      </c>
      <c r="C371" s="260">
        <v>900</v>
      </c>
      <c r="D371" s="261">
        <v>16.89667</v>
      </c>
      <c r="E371" s="261">
        <v>6.95</v>
      </c>
      <c r="F371" s="261">
        <f t="shared" si="43"/>
        <v>15213.953000000001</v>
      </c>
      <c r="G371" s="265">
        <v>42503</v>
      </c>
      <c r="H371" s="266">
        <v>2000</v>
      </c>
      <c r="I371" s="261">
        <v>9.73</v>
      </c>
      <c r="J371" s="261">
        <v>0.42</v>
      </c>
      <c r="K371" s="261">
        <f t="shared" si="42"/>
        <v>19459.580000000002</v>
      </c>
      <c r="L371" s="260"/>
      <c r="M371" s="260"/>
    </row>
    <row r="372" spans="1:13" x14ac:dyDescent="0.25">
      <c r="A372" s="260"/>
      <c r="B372" s="577">
        <v>42311</v>
      </c>
      <c r="C372" s="260">
        <v>200</v>
      </c>
      <c r="D372" s="261">
        <v>16.27</v>
      </c>
      <c r="E372" s="261">
        <v>6.95</v>
      </c>
      <c r="F372" s="261">
        <f t="shared" si="43"/>
        <v>3260.95</v>
      </c>
      <c r="G372" s="265">
        <v>42503</v>
      </c>
      <c r="H372" s="266">
        <v>2000</v>
      </c>
      <c r="I372" s="261">
        <v>9.76</v>
      </c>
      <c r="J372" s="261">
        <v>0.43</v>
      </c>
      <c r="K372" s="261">
        <f t="shared" si="42"/>
        <v>19519.57</v>
      </c>
      <c r="L372" s="260"/>
      <c r="M372" s="260"/>
    </row>
    <row r="373" spans="1:13" x14ac:dyDescent="0.25">
      <c r="A373" s="260"/>
      <c r="B373" s="712">
        <v>42317</v>
      </c>
      <c r="C373" s="260">
        <v>190</v>
      </c>
      <c r="D373" s="261">
        <v>17.100000000000001</v>
      </c>
      <c r="E373" s="261">
        <v>0</v>
      </c>
      <c r="F373" s="261">
        <f t="shared" si="43"/>
        <v>3249.0000000000005</v>
      </c>
      <c r="G373" s="707">
        <v>42510</v>
      </c>
      <c r="H373" s="266">
        <v>240</v>
      </c>
      <c r="I373" s="261">
        <v>10.75</v>
      </c>
      <c r="J373" s="261">
        <v>0.12</v>
      </c>
      <c r="K373" s="261">
        <f t="shared" si="42"/>
        <v>2579.88</v>
      </c>
      <c r="L373" s="260"/>
      <c r="M373" s="260"/>
    </row>
    <row r="374" spans="1:13" x14ac:dyDescent="0.25">
      <c r="A374" s="260"/>
      <c r="B374" s="712"/>
      <c r="C374" s="260">
        <v>2</v>
      </c>
      <c r="D374" s="261">
        <v>17.100000000000001</v>
      </c>
      <c r="E374" s="261">
        <v>0</v>
      </c>
      <c r="F374" s="261">
        <f t="shared" si="43"/>
        <v>34.200000000000003</v>
      </c>
      <c r="G374" s="707"/>
      <c r="H374" s="266">
        <v>260</v>
      </c>
      <c r="I374" s="261">
        <v>10.75</v>
      </c>
      <c r="J374" s="261">
        <v>0</v>
      </c>
      <c r="K374" s="261">
        <f t="shared" si="42"/>
        <v>2795</v>
      </c>
      <c r="L374" s="260"/>
      <c r="M374" s="260"/>
    </row>
    <row r="375" spans="1:13" x14ac:dyDescent="0.25">
      <c r="A375" s="260"/>
      <c r="B375" s="712">
        <v>42318</v>
      </c>
      <c r="C375" s="260">
        <v>8</v>
      </c>
      <c r="D375" s="261">
        <v>16.989999999999998</v>
      </c>
      <c r="E375" s="261">
        <v>0</v>
      </c>
      <c r="F375" s="261">
        <f t="shared" si="43"/>
        <v>135.91999999999999</v>
      </c>
      <c r="G375" s="265">
        <v>42514</v>
      </c>
      <c r="H375" s="266">
        <v>500</v>
      </c>
      <c r="I375" s="261">
        <v>11.37</v>
      </c>
      <c r="J375" s="261">
        <v>0.12</v>
      </c>
      <c r="K375" s="261">
        <f t="shared" si="42"/>
        <v>5684.88</v>
      </c>
      <c r="L375" s="260"/>
      <c r="M375" s="260"/>
    </row>
    <row r="376" spans="1:13" x14ac:dyDescent="0.25">
      <c r="A376" s="260"/>
      <c r="B376" s="712"/>
      <c r="C376" s="260">
        <v>500</v>
      </c>
      <c r="D376" s="261">
        <v>16.989999999999998</v>
      </c>
      <c r="E376" s="261">
        <v>0</v>
      </c>
      <c r="F376" s="261">
        <f>C376*D376+E376</f>
        <v>8495</v>
      </c>
      <c r="G376" s="265">
        <v>42514</v>
      </c>
      <c r="H376" s="266">
        <v>500</v>
      </c>
      <c r="I376" s="261">
        <v>11.54</v>
      </c>
      <c r="J376" s="261">
        <v>0.13</v>
      </c>
      <c r="K376" s="261">
        <f t="shared" si="42"/>
        <v>5769.87</v>
      </c>
      <c r="L376" s="260"/>
      <c r="M376" s="260"/>
    </row>
    <row r="377" spans="1:13" x14ac:dyDescent="0.25">
      <c r="A377" s="260"/>
      <c r="B377" s="712"/>
      <c r="C377" s="260">
        <v>300</v>
      </c>
      <c r="D377" s="261">
        <v>16.989999999999998</v>
      </c>
      <c r="E377" s="261">
        <v>0</v>
      </c>
      <c r="F377" s="261">
        <f>C377*D377+E377</f>
        <v>5096.9999999999991</v>
      </c>
      <c r="G377" s="265">
        <v>42514</v>
      </c>
      <c r="H377" s="266">
        <v>500</v>
      </c>
      <c r="I377" s="261">
        <v>11.76</v>
      </c>
      <c r="J377" s="261">
        <v>0.13</v>
      </c>
      <c r="K377" s="261">
        <f t="shared" si="42"/>
        <v>5879.87</v>
      </c>
      <c r="L377" s="260"/>
      <c r="M377" s="260"/>
    </row>
    <row r="378" spans="1:13" x14ac:dyDescent="0.25">
      <c r="A378" s="260"/>
      <c r="B378" s="712"/>
      <c r="C378" s="260">
        <v>1000</v>
      </c>
      <c r="D378" s="261">
        <v>16.989999999999998</v>
      </c>
      <c r="E378" s="261">
        <v>0</v>
      </c>
      <c r="F378" s="261">
        <f>C378*D378+E378</f>
        <v>16990</v>
      </c>
      <c r="G378" s="265">
        <v>42515</v>
      </c>
      <c r="H378" s="266">
        <v>500</v>
      </c>
      <c r="I378" s="261">
        <v>11.96</v>
      </c>
      <c r="J378" s="261">
        <v>0.13</v>
      </c>
      <c r="K378" s="261">
        <f t="shared" si="42"/>
        <v>5979.87</v>
      </c>
      <c r="L378" s="260"/>
      <c r="M378" s="260"/>
    </row>
    <row r="379" spans="1:13" x14ac:dyDescent="0.25">
      <c r="A379" s="260"/>
      <c r="B379" s="577">
        <v>42318</v>
      </c>
      <c r="C379" s="260">
        <v>500</v>
      </c>
      <c r="D379" s="261">
        <v>16.59</v>
      </c>
      <c r="E379" s="261">
        <v>0</v>
      </c>
      <c r="F379" s="261">
        <f t="shared" ref="F379:F442" si="44">C379*D379+E379</f>
        <v>8295</v>
      </c>
      <c r="G379" s="265">
        <v>42517</v>
      </c>
      <c r="H379" s="266">
        <v>1000</v>
      </c>
      <c r="I379" s="261">
        <v>12.31</v>
      </c>
      <c r="J379" s="261">
        <v>0.27</v>
      </c>
      <c r="K379" s="261">
        <f t="shared" si="42"/>
        <v>12309.73</v>
      </c>
      <c r="L379" s="260"/>
      <c r="M379" s="260"/>
    </row>
    <row r="380" spans="1:13" x14ac:dyDescent="0.25">
      <c r="A380" s="260"/>
      <c r="B380" s="577">
        <v>42318</v>
      </c>
      <c r="C380" s="260">
        <v>500</v>
      </c>
      <c r="D380" s="261">
        <v>16.489999999999998</v>
      </c>
      <c r="E380" s="261">
        <v>0</v>
      </c>
      <c r="F380" s="261">
        <f t="shared" si="44"/>
        <v>8245</v>
      </c>
      <c r="G380" s="265">
        <v>42517</v>
      </c>
      <c r="H380" s="266">
        <v>1000</v>
      </c>
      <c r="I380" s="261">
        <v>12.33</v>
      </c>
      <c r="J380" s="261">
        <v>0.27</v>
      </c>
      <c r="K380" s="261">
        <f t="shared" si="42"/>
        <v>12329.73</v>
      </c>
      <c r="L380" s="260"/>
      <c r="M380" s="260"/>
    </row>
    <row r="381" spans="1:13" x14ac:dyDescent="0.25">
      <c r="A381" s="260"/>
      <c r="B381" s="577">
        <v>42321</v>
      </c>
      <c r="C381" s="260">
        <v>350</v>
      </c>
      <c r="D381" s="261">
        <v>15.82</v>
      </c>
      <c r="E381" s="261">
        <v>0</v>
      </c>
      <c r="F381" s="261">
        <f t="shared" si="44"/>
        <v>5537</v>
      </c>
      <c r="G381" s="265">
        <v>42521</v>
      </c>
      <c r="H381" s="266">
        <v>500</v>
      </c>
      <c r="I381" s="261">
        <v>12.76</v>
      </c>
      <c r="J381" s="261">
        <v>0.14000000000000001</v>
      </c>
      <c r="K381" s="261">
        <f t="shared" si="42"/>
        <v>6379.86</v>
      </c>
      <c r="L381" s="260"/>
      <c r="M381" s="260"/>
    </row>
    <row r="382" spans="1:13" x14ac:dyDescent="0.25">
      <c r="A382" s="260"/>
      <c r="B382" s="577">
        <v>42327</v>
      </c>
      <c r="C382" s="260">
        <v>500</v>
      </c>
      <c r="D382" s="261">
        <v>14.82</v>
      </c>
      <c r="E382" s="261">
        <v>0</v>
      </c>
      <c r="F382" s="261">
        <f t="shared" si="44"/>
        <v>7410</v>
      </c>
      <c r="G382" s="265">
        <v>42521</v>
      </c>
      <c r="H382" s="266">
        <v>500</v>
      </c>
      <c r="I382" s="261">
        <v>12.76</v>
      </c>
      <c r="J382" s="261">
        <v>0.14000000000000001</v>
      </c>
      <c r="K382" s="261">
        <f t="shared" si="42"/>
        <v>6379.86</v>
      </c>
      <c r="L382" s="260"/>
      <c r="M382" s="260"/>
    </row>
    <row r="383" spans="1:13" x14ac:dyDescent="0.25">
      <c r="A383" s="260"/>
      <c r="B383" s="577">
        <v>42327</v>
      </c>
      <c r="C383" s="260">
        <v>440</v>
      </c>
      <c r="D383" s="261">
        <v>14.68</v>
      </c>
      <c r="E383" s="261">
        <v>0</v>
      </c>
      <c r="F383" s="261">
        <f t="shared" si="44"/>
        <v>6459.2</v>
      </c>
      <c r="G383" s="260"/>
      <c r="H383" s="260"/>
      <c r="I383" s="261"/>
      <c r="J383" s="261"/>
      <c r="K383" s="261"/>
      <c r="L383" s="260"/>
      <c r="M383" s="260"/>
    </row>
    <row r="384" spans="1:13" x14ac:dyDescent="0.25">
      <c r="A384" s="260"/>
      <c r="B384" s="577">
        <v>42333</v>
      </c>
      <c r="C384" s="260">
        <v>940</v>
      </c>
      <c r="D384" s="260">
        <v>15.35</v>
      </c>
      <c r="E384" s="261">
        <v>0</v>
      </c>
      <c r="F384" s="261">
        <f t="shared" si="44"/>
        <v>14429</v>
      </c>
      <c r="G384" s="260"/>
      <c r="H384" s="260"/>
      <c r="I384" s="261"/>
      <c r="J384" s="261"/>
      <c r="K384" s="261"/>
      <c r="L384" s="260"/>
      <c r="M384" s="260"/>
    </row>
    <row r="385" spans="1:13" x14ac:dyDescent="0.25">
      <c r="A385" s="260"/>
      <c r="B385" s="577">
        <v>42340</v>
      </c>
      <c r="C385" s="260">
        <v>350</v>
      </c>
      <c r="D385" s="260">
        <v>15.85</v>
      </c>
      <c r="E385" s="261">
        <v>0</v>
      </c>
      <c r="F385" s="261">
        <f t="shared" si="44"/>
        <v>5547.5</v>
      </c>
      <c r="G385" s="260"/>
      <c r="H385" s="260"/>
      <c r="I385" s="261"/>
      <c r="J385" s="261"/>
      <c r="K385" s="261"/>
      <c r="L385" s="260"/>
      <c r="M385" s="260"/>
    </row>
    <row r="386" spans="1:13" x14ac:dyDescent="0.25">
      <c r="A386" s="260"/>
      <c r="B386" s="577">
        <v>42346</v>
      </c>
      <c r="C386" s="260">
        <v>200</v>
      </c>
      <c r="D386" s="260">
        <v>15.55</v>
      </c>
      <c r="E386" s="261">
        <v>0</v>
      </c>
      <c r="F386" s="261">
        <f t="shared" si="44"/>
        <v>3110</v>
      </c>
      <c r="G386" s="260"/>
      <c r="H386" s="260"/>
      <c r="I386" s="261"/>
      <c r="J386" s="261"/>
      <c r="K386" s="261"/>
      <c r="L386" s="260"/>
      <c r="M386" s="260"/>
    </row>
    <row r="387" spans="1:13" x14ac:dyDescent="0.25">
      <c r="A387" s="260"/>
      <c r="B387" s="577">
        <v>42352</v>
      </c>
      <c r="C387" s="260">
        <v>200</v>
      </c>
      <c r="D387" s="261">
        <v>14.4</v>
      </c>
      <c r="E387" s="261">
        <v>0</v>
      </c>
      <c r="F387" s="261">
        <f t="shared" si="44"/>
        <v>2880</v>
      </c>
      <c r="G387" s="260"/>
      <c r="H387" s="260"/>
      <c r="I387" s="261"/>
      <c r="J387" s="261"/>
      <c r="K387" s="261"/>
      <c r="L387" s="260"/>
      <c r="M387" s="260"/>
    </row>
    <row r="388" spans="1:13" x14ac:dyDescent="0.25">
      <c r="A388" s="260"/>
      <c r="B388" s="577">
        <v>42354</v>
      </c>
      <c r="C388" s="260">
        <v>940</v>
      </c>
      <c r="D388" s="261">
        <v>14.1</v>
      </c>
      <c r="E388" s="261">
        <v>0</v>
      </c>
      <c r="F388" s="261">
        <f t="shared" si="44"/>
        <v>13254</v>
      </c>
      <c r="G388" s="260"/>
      <c r="H388" s="260"/>
      <c r="I388" s="261"/>
      <c r="J388" s="261"/>
      <c r="K388" s="261"/>
      <c r="L388" s="260"/>
      <c r="M388" s="260"/>
    </row>
    <row r="389" spans="1:13" x14ac:dyDescent="0.25">
      <c r="A389" s="260"/>
      <c r="B389" s="577">
        <v>42354</v>
      </c>
      <c r="C389" s="260">
        <v>940</v>
      </c>
      <c r="D389" s="260">
        <v>14.03</v>
      </c>
      <c r="E389" s="261">
        <v>0</v>
      </c>
      <c r="F389" s="261">
        <f t="shared" si="44"/>
        <v>13188.199999999999</v>
      </c>
      <c r="G389" s="260"/>
      <c r="H389" s="260"/>
      <c r="I389" s="261"/>
      <c r="J389" s="261"/>
      <c r="K389" s="261"/>
      <c r="L389" s="260"/>
      <c r="M389" s="260"/>
    </row>
    <row r="390" spans="1:13" x14ac:dyDescent="0.25">
      <c r="A390" s="260"/>
      <c r="B390" s="577">
        <v>42354</v>
      </c>
      <c r="C390" s="260">
        <v>200</v>
      </c>
      <c r="D390" s="260">
        <v>14.01</v>
      </c>
      <c r="E390" s="261">
        <v>0</v>
      </c>
      <c r="F390" s="261">
        <f t="shared" si="44"/>
        <v>2802</v>
      </c>
      <c r="G390" s="260"/>
      <c r="H390" s="260"/>
      <c r="I390" s="261"/>
      <c r="J390" s="261"/>
      <c r="K390" s="261"/>
      <c r="L390" s="260"/>
      <c r="M390" s="260"/>
    </row>
    <row r="391" spans="1:13" x14ac:dyDescent="0.25">
      <c r="A391" s="260"/>
      <c r="B391" s="577">
        <v>42355</v>
      </c>
      <c r="C391" s="260">
        <v>1840</v>
      </c>
      <c r="D391" s="261">
        <v>14.5</v>
      </c>
      <c r="E391" s="261">
        <v>3.4</v>
      </c>
      <c r="F391" s="261">
        <f t="shared" si="44"/>
        <v>26683.4</v>
      </c>
      <c r="G391" s="265"/>
      <c r="H391" s="266"/>
      <c r="I391" s="261"/>
      <c r="J391" s="261"/>
      <c r="K391" s="261"/>
      <c r="L391" s="260"/>
      <c r="M391" s="260"/>
    </row>
    <row r="392" spans="1:13" x14ac:dyDescent="0.25">
      <c r="A392" s="260"/>
      <c r="B392" s="593">
        <v>42361</v>
      </c>
      <c r="C392" s="260">
        <v>1000</v>
      </c>
      <c r="D392" s="261">
        <v>14.33</v>
      </c>
      <c r="E392" s="261">
        <v>0</v>
      </c>
      <c r="F392" s="261">
        <f t="shared" si="44"/>
        <v>14330</v>
      </c>
      <c r="G392" s="265"/>
      <c r="H392" s="266"/>
      <c r="I392" s="261"/>
      <c r="J392" s="261"/>
      <c r="K392" s="261"/>
      <c r="L392" s="260"/>
      <c r="M392" s="260"/>
    </row>
    <row r="393" spans="1:13" x14ac:dyDescent="0.25">
      <c r="A393" s="260"/>
      <c r="B393" s="593"/>
      <c r="C393" s="260">
        <v>500</v>
      </c>
      <c r="D393" s="261">
        <v>14.33</v>
      </c>
      <c r="E393" s="261">
        <v>0</v>
      </c>
      <c r="F393" s="261">
        <f t="shared" si="44"/>
        <v>7165</v>
      </c>
      <c r="G393" s="265"/>
      <c r="H393" s="266"/>
      <c r="I393" s="261"/>
      <c r="J393" s="261"/>
      <c r="K393" s="261"/>
      <c r="L393" s="260"/>
      <c r="M393" s="260"/>
    </row>
    <row r="394" spans="1:13" x14ac:dyDescent="0.25">
      <c r="A394" s="260"/>
      <c r="B394" s="593"/>
      <c r="C394" s="260">
        <v>440</v>
      </c>
      <c r="D394" s="261">
        <v>14.33</v>
      </c>
      <c r="E394" s="261">
        <v>0</v>
      </c>
      <c r="F394" s="261">
        <f t="shared" si="44"/>
        <v>6305.2</v>
      </c>
      <c r="G394" s="260"/>
      <c r="H394" s="266"/>
      <c r="I394" s="261"/>
      <c r="J394" s="261"/>
      <c r="K394" s="261"/>
      <c r="L394" s="260"/>
      <c r="M394" s="260"/>
    </row>
    <row r="395" spans="1:13" x14ac:dyDescent="0.25">
      <c r="A395" s="260"/>
      <c r="B395" s="577">
        <v>42366</v>
      </c>
      <c r="C395" s="260">
        <v>1000</v>
      </c>
      <c r="D395" s="261">
        <v>14.74</v>
      </c>
      <c r="E395" s="261">
        <v>0</v>
      </c>
      <c r="F395" s="261">
        <f t="shared" si="44"/>
        <v>14740</v>
      </c>
      <c r="G395" s="260"/>
      <c r="H395" s="260"/>
      <c r="I395" s="261"/>
      <c r="J395" s="261"/>
      <c r="K395" s="261"/>
      <c r="L395" s="260"/>
      <c r="M395" s="260"/>
    </row>
    <row r="396" spans="1:13" x14ac:dyDescent="0.25">
      <c r="A396" s="260"/>
      <c r="B396" s="577">
        <v>42377</v>
      </c>
      <c r="C396" s="260">
        <v>200</v>
      </c>
      <c r="D396" s="261">
        <v>13.35</v>
      </c>
      <c r="E396" s="261">
        <v>0</v>
      </c>
      <c r="F396" s="261">
        <f t="shared" si="44"/>
        <v>2670</v>
      </c>
      <c r="G396" s="260"/>
      <c r="H396" s="260"/>
      <c r="I396" s="261"/>
      <c r="J396" s="261"/>
      <c r="K396" s="261"/>
      <c r="L396" s="260"/>
      <c r="M396" s="260"/>
    </row>
    <row r="397" spans="1:13" x14ac:dyDescent="0.25">
      <c r="A397" s="260"/>
      <c r="B397" s="577">
        <v>42401</v>
      </c>
      <c r="C397" s="260">
        <v>260</v>
      </c>
      <c r="D397" s="261">
        <v>10.69</v>
      </c>
      <c r="E397" s="261">
        <v>0</v>
      </c>
      <c r="F397" s="261">
        <f t="shared" si="44"/>
        <v>2779.4</v>
      </c>
      <c r="G397" s="260"/>
      <c r="H397" s="260"/>
      <c r="I397" s="261"/>
      <c r="J397" s="261"/>
      <c r="K397" s="261"/>
      <c r="L397" s="260"/>
      <c r="M397" s="260"/>
    </row>
    <row r="398" spans="1:13" x14ac:dyDescent="0.25">
      <c r="A398" s="260"/>
      <c r="B398" s="577">
        <v>42423</v>
      </c>
      <c r="C398" s="260">
        <v>1660</v>
      </c>
      <c r="D398" s="261">
        <v>10.77</v>
      </c>
      <c r="E398" s="261">
        <v>0</v>
      </c>
      <c r="F398" s="261">
        <f t="shared" si="44"/>
        <v>17878.2</v>
      </c>
      <c r="G398" s="260"/>
      <c r="H398" s="260"/>
      <c r="I398" s="261"/>
      <c r="J398" s="261"/>
      <c r="K398" s="261"/>
      <c r="L398" s="260"/>
      <c r="M398" s="261"/>
    </row>
    <row r="399" spans="1:13" x14ac:dyDescent="0.25">
      <c r="A399" s="260"/>
      <c r="B399" s="577">
        <v>42436</v>
      </c>
      <c r="C399" s="260">
        <v>520</v>
      </c>
      <c r="D399" s="261">
        <v>11.1</v>
      </c>
      <c r="E399" s="261">
        <v>0.16</v>
      </c>
      <c r="F399" s="261">
        <f t="shared" si="44"/>
        <v>5772.16</v>
      </c>
      <c r="G399" s="260"/>
      <c r="H399" s="260"/>
      <c r="I399" s="261"/>
      <c r="J399" s="261"/>
      <c r="K399" s="261"/>
      <c r="L399" s="260"/>
      <c r="M399" s="261"/>
    </row>
    <row r="400" spans="1:13" x14ac:dyDescent="0.25">
      <c r="A400" s="260"/>
      <c r="B400" s="593">
        <v>42436</v>
      </c>
      <c r="C400" s="260">
        <v>500</v>
      </c>
      <c r="D400" s="260">
        <v>11.35</v>
      </c>
      <c r="E400" s="261">
        <v>0</v>
      </c>
      <c r="F400" s="261">
        <f t="shared" si="44"/>
        <v>5675</v>
      </c>
      <c r="G400" s="260"/>
      <c r="H400" s="260"/>
      <c r="I400" s="261"/>
      <c r="J400" s="261"/>
      <c r="K400" s="261"/>
      <c r="L400" s="260"/>
      <c r="M400" s="260"/>
    </row>
    <row r="401" spans="1:13" x14ac:dyDescent="0.25">
      <c r="A401" s="260"/>
      <c r="B401" s="593"/>
      <c r="C401" s="260">
        <v>30</v>
      </c>
      <c r="D401" s="260">
        <v>11.35</v>
      </c>
      <c r="E401" s="261">
        <v>0</v>
      </c>
      <c r="F401" s="261">
        <f t="shared" si="44"/>
        <v>340.5</v>
      </c>
      <c r="G401" s="260"/>
      <c r="H401" s="260"/>
      <c r="I401" s="261"/>
      <c r="J401" s="261"/>
      <c r="K401" s="261"/>
      <c r="L401" s="260"/>
      <c r="M401" s="260"/>
    </row>
    <row r="402" spans="1:13" x14ac:dyDescent="0.25">
      <c r="A402" s="260"/>
      <c r="B402" s="593">
        <v>42447</v>
      </c>
      <c r="C402" s="260">
        <v>5</v>
      </c>
      <c r="D402" s="260">
        <v>10.75</v>
      </c>
      <c r="E402" s="261">
        <v>0</v>
      </c>
      <c r="F402" s="261">
        <f t="shared" si="44"/>
        <v>53.75</v>
      </c>
      <c r="G402" s="260"/>
      <c r="H402" s="260"/>
      <c r="I402" s="261"/>
      <c r="J402" s="261"/>
      <c r="K402" s="261"/>
      <c r="L402" s="260"/>
      <c r="M402" s="260"/>
    </row>
    <row r="403" spans="1:13" x14ac:dyDescent="0.25">
      <c r="A403" s="260"/>
      <c r="B403" s="593"/>
      <c r="C403" s="260">
        <v>500</v>
      </c>
      <c r="D403" s="260">
        <v>10.75</v>
      </c>
      <c r="E403" s="261">
        <v>0</v>
      </c>
      <c r="F403" s="261">
        <f t="shared" si="44"/>
        <v>5375</v>
      </c>
      <c r="G403" s="260"/>
      <c r="H403" s="260"/>
      <c r="I403" s="261"/>
      <c r="J403" s="261"/>
      <c r="K403" s="261"/>
      <c r="L403" s="260"/>
      <c r="M403" s="260"/>
    </row>
    <row r="404" spans="1:13" x14ac:dyDescent="0.25">
      <c r="A404" s="260"/>
      <c r="B404" s="593">
        <v>42447</v>
      </c>
      <c r="C404" s="260">
        <v>2000</v>
      </c>
      <c r="D404" s="260">
        <v>11.07</v>
      </c>
      <c r="E404" s="261">
        <v>0</v>
      </c>
      <c r="F404" s="261">
        <f t="shared" si="44"/>
        <v>22140</v>
      </c>
      <c r="G404" s="260"/>
      <c r="H404" s="260"/>
      <c r="I404" s="261"/>
      <c r="J404" s="261"/>
      <c r="K404" s="261"/>
      <c r="L404" s="260"/>
      <c r="M404" s="260"/>
    </row>
    <row r="405" spans="1:13" x14ac:dyDescent="0.25">
      <c r="A405" s="260"/>
      <c r="B405" s="593"/>
      <c r="C405" s="260">
        <v>5</v>
      </c>
      <c r="D405" s="260">
        <v>11.07</v>
      </c>
      <c r="E405" s="261">
        <v>0</v>
      </c>
      <c r="F405" s="261">
        <f t="shared" si="44"/>
        <v>55.35</v>
      </c>
      <c r="G405" s="260"/>
      <c r="H405" s="260"/>
      <c r="I405" s="261"/>
      <c r="J405" s="261"/>
      <c r="K405" s="261"/>
      <c r="L405" s="260"/>
      <c r="M405" s="260"/>
    </row>
    <row r="406" spans="1:13" x14ac:dyDescent="0.25">
      <c r="A406" s="260"/>
      <c r="B406" s="577">
        <v>42447</v>
      </c>
      <c r="C406" s="260">
        <v>355</v>
      </c>
      <c r="D406" s="260">
        <v>11.11</v>
      </c>
      <c r="E406" s="261">
        <v>0</v>
      </c>
      <c r="F406" s="261">
        <f t="shared" si="44"/>
        <v>3944.0499999999997</v>
      </c>
      <c r="G406" s="260"/>
      <c r="H406" s="260"/>
      <c r="I406" s="261"/>
      <c r="J406" s="261"/>
      <c r="K406" s="261"/>
      <c r="L406" s="260"/>
      <c r="M406" s="260"/>
    </row>
    <row r="407" spans="1:13" x14ac:dyDescent="0.25">
      <c r="A407" s="260"/>
      <c r="B407" s="577">
        <v>42450</v>
      </c>
      <c r="C407" s="260">
        <v>100</v>
      </c>
      <c r="D407" s="260">
        <v>11.51</v>
      </c>
      <c r="E407" s="261">
        <v>0</v>
      </c>
      <c r="F407" s="261">
        <f t="shared" si="44"/>
        <v>1151</v>
      </c>
      <c r="G407" s="260"/>
      <c r="H407" s="260"/>
      <c r="I407" s="261"/>
      <c r="J407" s="261"/>
      <c r="K407" s="261"/>
      <c r="L407" s="260"/>
      <c r="M407" s="260"/>
    </row>
    <row r="408" spans="1:13" x14ac:dyDescent="0.25">
      <c r="A408" s="260"/>
      <c r="B408" s="577">
        <v>42451</v>
      </c>
      <c r="C408" s="260">
        <v>1305</v>
      </c>
      <c r="D408" s="261">
        <v>11.4</v>
      </c>
      <c r="E408" s="261">
        <v>-1</v>
      </c>
      <c r="F408" s="261">
        <f t="shared" si="44"/>
        <v>14876</v>
      </c>
      <c r="G408" s="260"/>
      <c r="H408" s="260"/>
      <c r="I408" s="261"/>
      <c r="J408" s="261"/>
      <c r="K408" s="261"/>
      <c r="L408" s="260"/>
      <c r="M408" s="260"/>
    </row>
    <row r="409" spans="1:13" x14ac:dyDescent="0.25">
      <c r="A409" s="260"/>
      <c r="B409" s="577">
        <v>42452</v>
      </c>
      <c r="C409" s="260">
        <v>100</v>
      </c>
      <c r="D409" s="261">
        <v>10.82</v>
      </c>
      <c r="E409" s="261">
        <v>0</v>
      </c>
      <c r="F409" s="261">
        <f t="shared" si="44"/>
        <v>1082</v>
      </c>
      <c r="G409" s="260"/>
      <c r="H409" s="260"/>
      <c r="I409" s="261"/>
      <c r="J409" s="261"/>
      <c r="K409" s="261"/>
      <c r="L409" s="260"/>
      <c r="M409" s="260"/>
    </row>
    <row r="410" spans="1:13" x14ac:dyDescent="0.25">
      <c r="A410" s="260"/>
      <c r="B410" s="577">
        <v>42466</v>
      </c>
      <c r="C410" s="260">
        <v>500</v>
      </c>
      <c r="D410" s="261">
        <v>10.41</v>
      </c>
      <c r="E410" s="261">
        <v>0</v>
      </c>
      <c r="F410" s="261">
        <f t="shared" si="44"/>
        <v>5205</v>
      </c>
      <c r="G410" s="260"/>
      <c r="H410" s="260"/>
      <c r="I410" s="261"/>
      <c r="J410" s="261"/>
      <c r="K410" s="261"/>
      <c r="L410" s="260"/>
      <c r="M410" s="260"/>
    </row>
    <row r="411" spans="1:13" x14ac:dyDescent="0.25">
      <c r="A411" s="260"/>
      <c r="B411" s="577">
        <v>42472</v>
      </c>
      <c r="C411" s="260">
        <v>600</v>
      </c>
      <c r="D411" s="261">
        <v>10.31</v>
      </c>
      <c r="E411" s="261">
        <v>0</v>
      </c>
      <c r="F411" s="261">
        <f t="shared" si="44"/>
        <v>6186</v>
      </c>
      <c r="G411" s="260"/>
      <c r="H411" s="260"/>
      <c r="I411" s="261"/>
      <c r="J411" s="261"/>
      <c r="K411" s="261"/>
      <c r="L411" s="260"/>
      <c r="M411" s="260"/>
    </row>
    <row r="412" spans="1:13" x14ac:dyDescent="0.25">
      <c r="A412" s="260"/>
      <c r="B412" s="577">
        <v>42487</v>
      </c>
      <c r="C412" s="260">
        <v>1000</v>
      </c>
      <c r="D412" s="261">
        <v>11.29</v>
      </c>
      <c r="E412" s="261">
        <v>0</v>
      </c>
      <c r="F412" s="261">
        <f t="shared" si="44"/>
        <v>11290</v>
      </c>
      <c r="G412" s="260"/>
      <c r="H412" s="260"/>
      <c r="I412" s="261"/>
      <c r="J412" s="261"/>
      <c r="K412" s="261"/>
      <c r="L412" s="260"/>
      <c r="M412" s="260"/>
    </row>
    <row r="413" spans="1:13" x14ac:dyDescent="0.25">
      <c r="A413" s="260"/>
      <c r="B413" s="577">
        <v>42488</v>
      </c>
      <c r="C413" s="260">
        <v>1200</v>
      </c>
      <c r="D413" s="261">
        <v>12.2</v>
      </c>
      <c r="E413" s="261">
        <v>0</v>
      </c>
      <c r="F413" s="261">
        <f t="shared" si="44"/>
        <v>14640</v>
      </c>
      <c r="G413" s="260"/>
      <c r="H413" s="260"/>
      <c r="I413" s="261"/>
      <c r="J413" s="261"/>
      <c r="K413" s="261"/>
      <c r="L413" s="260"/>
      <c r="M413" s="260"/>
    </row>
    <row r="414" spans="1:13" x14ac:dyDescent="0.25">
      <c r="A414" s="713" t="s">
        <v>204</v>
      </c>
      <c r="B414" s="577">
        <v>42489</v>
      </c>
      <c r="C414" s="260">
        <v>240</v>
      </c>
      <c r="D414" s="261">
        <v>10.81</v>
      </c>
      <c r="E414" s="261">
        <v>0</v>
      </c>
      <c r="F414" s="261">
        <f t="shared" si="44"/>
        <v>2594.4</v>
      </c>
      <c r="G414" s="260"/>
      <c r="H414" s="260"/>
      <c r="I414" s="261"/>
      <c r="J414" s="261"/>
      <c r="K414" s="261"/>
      <c r="L414" s="260"/>
      <c r="M414" s="260"/>
    </row>
    <row r="415" spans="1:13" x14ac:dyDescent="0.25">
      <c r="A415" s="713"/>
      <c r="B415" s="577">
        <v>42494</v>
      </c>
      <c r="C415" s="260">
        <v>500</v>
      </c>
      <c r="D415" s="261">
        <v>10.130000000000001</v>
      </c>
      <c r="E415" s="261">
        <v>-1</v>
      </c>
      <c r="F415" s="261">
        <f t="shared" si="44"/>
        <v>5064</v>
      </c>
      <c r="G415" s="260"/>
      <c r="H415" s="260"/>
      <c r="I415" s="261"/>
      <c r="J415" s="261"/>
      <c r="K415" s="261"/>
      <c r="L415" s="260"/>
      <c r="M415" s="260"/>
    </row>
    <row r="416" spans="1:13" x14ac:dyDescent="0.25">
      <c r="A416" s="713"/>
      <c r="B416" s="577">
        <v>42494</v>
      </c>
      <c r="C416" s="260">
        <v>500</v>
      </c>
      <c r="D416" s="261">
        <v>9.92</v>
      </c>
      <c r="E416" s="261">
        <v>0</v>
      </c>
      <c r="F416" s="261">
        <f t="shared" si="44"/>
        <v>4960</v>
      </c>
      <c r="G416" s="260"/>
      <c r="H416" s="260"/>
      <c r="I416" s="261"/>
      <c r="J416" s="261"/>
      <c r="K416" s="261"/>
      <c r="L416" s="260"/>
      <c r="M416" s="260"/>
    </row>
    <row r="417" spans="1:13" x14ac:dyDescent="0.25">
      <c r="A417" s="260"/>
      <c r="B417" s="577">
        <v>42502</v>
      </c>
      <c r="C417" s="260">
        <v>1000</v>
      </c>
      <c r="D417" s="261">
        <v>9.86</v>
      </c>
      <c r="E417" s="261">
        <v>0</v>
      </c>
      <c r="F417" s="261">
        <f t="shared" si="44"/>
        <v>9860</v>
      </c>
      <c r="G417" s="260"/>
      <c r="H417" s="260"/>
      <c r="I417" s="261"/>
      <c r="J417" s="261"/>
      <c r="K417" s="261"/>
      <c r="L417" s="260"/>
      <c r="M417" s="260"/>
    </row>
    <row r="418" spans="1:13" x14ac:dyDescent="0.25">
      <c r="A418" s="260"/>
      <c r="B418" s="577">
        <v>42502</v>
      </c>
      <c r="C418" s="260">
        <v>1000</v>
      </c>
      <c r="D418" s="261">
        <v>9.68</v>
      </c>
      <c r="E418" s="261">
        <v>0</v>
      </c>
      <c r="F418" s="261">
        <f t="shared" si="44"/>
        <v>9680</v>
      </c>
      <c r="G418" s="260"/>
      <c r="H418" s="260"/>
      <c r="I418" s="261"/>
      <c r="J418" s="261"/>
      <c r="K418" s="261"/>
      <c r="L418" s="260"/>
      <c r="M418" s="260"/>
    </row>
    <row r="419" spans="1:13" x14ac:dyDescent="0.25">
      <c r="A419" s="260"/>
      <c r="B419" s="577">
        <v>42502</v>
      </c>
      <c r="C419" s="260">
        <v>1000</v>
      </c>
      <c r="D419" s="261">
        <v>9.5</v>
      </c>
      <c r="E419" s="261">
        <v>0</v>
      </c>
      <c r="F419" s="261">
        <f t="shared" si="44"/>
        <v>9500</v>
      </c>
      <c r="G419" s="260"/>
      <c r="H419" s="260"/>
      <c r="I419" s="261"/>
      <c r="J419" s="261"/>
      <c r="K419" s="261"/>
      <c r="L419" s="260"/>
      <c r="M419" s="260"/>
    </row>
    <row r="420" spans="1:13" x14ac:dyDescent="0.25">
      <c r="A420" s="260"/>
      <c r="B420" s="577">
        <v>42503</v>
      </c>
      <c r="C420" s="260">
        <v>1000</v>
      </c>
      <c r="D420" s="261">
        <v>9.6999999999999993</v>
      </c>
      <c r="E420" s="261">
        <v>9.9</v>
      </c>
      <c r="F420" s="261">
        <f t="shared" si="44"/>
        <v>9709.9</v>
      </c>
      <c r="G420" s="260"/>
      <c r="H420" s="260"/>
      <c r="I420" s="261"/>
      <c r="J420" s="261"/>
      <c r="K420" s="261"/>
      <c r="L420" s="260"/>
      <c r="M420" s="260"/>
    </row>
    <row r="421" spans="1:13" x14ac:dyDescent="0.25">
      <c r="A421" s="260"/>
      <c r="B421" s="577">
        <v>42514</v>
      </c>
      <c r="C421" s="260">
        <v>500</v>
      </c>
      <c r="D421" s="261">
        <v>11.22</v>
      </c>
      <c r="E421" s="261">
        <v>-2.5</v>
      </c>
      <c r="F421" s="261">
        <f t="shared" si="44"/>
        <v>5607.5</v>
      </c>
      <c r="G421" s="260"/>
      <c r="H421" s="260"/>
      <c r="I421" s="261"/>
      <c r="J421" s="261"/>
      <c r="K421" s="261"/>
      <c r="L421" s="260"/>
      <c r="M421" s="260"/>
    </row>
    <row r="422" spans="1:13" x14ac:dyDescent="0.25">
      <c r="A422" s="260"/>
      <c r="B422" s="577">
        <v>42515</v>
      </c>
      <c r="C422" s="260">
        <v>500</v>
      </c>
      <c r="D422" s="261">
        <v>11.62</v>
      </c>
      <c r="E422" s="261">
        <v>0</v>
      </c>
      <c r="F422" s="261">
        <f t="shared" si="44"/>
        <v>5810</v>
      </c>
      <c r="G422" s="260"/>
      <c r="H422" s="260"/>
      <c r="I422" s="261"/>
      <c r="J422" s="261"/>
      <c r="K422" s="261"/>
      <c r="L422" s="260"/>
      <c r="M422" s="260"/>
    </row>
    <row r="423" spans="1:13" x14ac:dyDescent="0.25">
      <c r="A423" s="260"/>
      <c r="B423" s="577">
        <v>42517</v>
      </c>
      <c r="C423" s="260">
        <v>1000</v>
      </c>
      <c r="D423" s="261">
        <v>12.25</v>
      </c>
      <c r="E423" s="261">
        <v>0</v>
      </c>
      <c r="F423" s="261">
        <f t="shared" si="44"/>
        <v>12250</v>
      </c>
      <c r="G423" s="260"/>
      <c r="H423" s="260"/>
      <c r="I423" s="261"/>
      <c r="J423" s="261"/>
      <c r="K423" s="261"/>
      <c r="L423" s="260"/>
      <c r="M423" s="260"/>
    </row>
    <row r="424" spans="1:13" x14ac:dyDescent="0.25">
      <c r="A424" s="260"/>
      <c r="B424" s="577">
        <v>42517</v>
      </c>
      <c r="C424" s="260">
        <v>1000</v>
      </c>
      <c r="D424" s="261">
        <v>12.3</v>
      </c>
      <c r="E424" s="261">
        <v>0</v>
      </c>
      <c r="F424" s="261">
        <f t="shared" si="44"/>
        <v>12300</v>
      </c>
      <c r="G424" s="260"/>
      <c r="H424" s="260"/>
      <c r="I424" s="261"/>
      <c r="J424" s="261"/>
      <c r="K424" s="261"/>
      <c r="L424" s="260"/>
      <c r="M424" s="260"/>
    </row>
    <row r="425" spans="1:13" x14ac:dyDescent="0.25">
      <c r="A425" s="260"/>
      <c r="B425" s="577">
        <v>42521</v>
      </c>
      <c r="C425" s="260">
        <v>500</v>
      </c>
      <c r="D425" s="261">
        <v>12.61</v>
      </c>
      <c r="E425" s="261">
        <v>0</v>
      </c>
      <c r="F425" s="261">
        <f t="shared" si="44"/>
        <v>6305</v>
      </c>
      <c r="G425" s="260"/>
      <c r="H425" s="260"/>
      <c r="I425" s="261"/>
      <c r="J425" s="261"/>
      <c r="K425" s="261"/>
      <c r="L425" s="260"/>
      <c r="M425" s="260"/>
    </row>
    <row r="426" spans="1:13" x14ac:dyDescent="0.25">
      <c r="A426" s="260"/>
      <c r="B426" s="577">
        <v>42521</v>
      </c>
      <c r="C426" s="260">
        <v>500</v>
      </c>
      <c r="D426" s="261">
        <v>12.72</v>
      </c>
      <c r="E426" s="261">
        <v>0</v>
      </c>
      <c r="F426" s="261">
        <f t="shared" si="44"/>
        <v>6360</v>
      </c>
      <c r="G426" s="265">
        <v>42522</v>
      </c>
      <c r="H426" s="266">
        <v>500</v>
      </c>
      <c r="I426" s="261">
        <v>12.72</v>
      </c>
      <c r="J426" s="261">
        <v>0.14000000000000001</v>
      </c>
      <c r="K426" s="261">
        <f>H426*I426-J426</f>
        <v>6359.86</v>
      </c>
      <c r="L426" s="260"/>
      <c r="M426" s="260"/>
    </row>
    <row r="427" spans="1:13" x14ac:dyDescent="0.25">
      <c r="A427" s="260"/>
      <c r="B427" s="577">
        <v>42522</v>
      </c>
      <c r="C427" s="260">
        <v>500</v>
      </c>
      <c r="D427" s="261">
        <v>12.6</v>
      </c>
      <c r="E427" s="261">
        <v>0</v>
      </c>
      <c r="F427" s="261">
        <f t="shared" si="44"/>
        <v>6300</v>
      </c>
      <c r="G427" s="265">
        <v>42522</v>
      </c>
      <c r="H427" s="266">
        <v>500</v>
      </c>
      <c r="I427" s="261">
        <v>12.96</v>
      </c>
      <c r="J427" s="261">
        <v>0.14000000000000001</v>
      </c>
      <c r="K427" s="261">
        <f>H427*I427-J427</f>
        <v>6479.86</v>
      </c>
      <c r="L427" s="260"/>
      <c r="M427" s="260"/>
    </row>
    <row r="428" spans="1:13" x14ac:dyDescent="0.25">
      <c r="A428" s="260"/>
      <c r="B428" s="577">
        <v>42524</v>
      </c>
      <c r="C428" s="260">
        <v>625</v>
      </c>
      <c r="D428" s="261">
        <v>12.69</v>
      </c>
      <c r="E428" s="261">
        <v>0</v>
      </c>
      <c r="F428" s="261">
        <f t="shared" si="44"/>
        <v>7931.25</v>
      </c>
      <c r="G428" s="265">
        <v>42522</v>
      </c>
      <c r="H428" s="266">
        <v>125</v>
      </c>
      <c r="I428" s="261">
        <v>13.12</v>
      </c>
      <c r="J428" s="261">
        <v>0.04</v>
      </c>
      <c r="K428" s="261">
        <f>H428*I428-J428</f>
        <v>1639.96</v>
      </c>
      <c r="L428" s="260"/>
      <c r="M428" s="260"/>
    </row>
    <row r="429" spans="1:13" x14ac:dyDescent="0.25">
      <c r="A429" s="260"/>
      <c r="B429" s="577">
        <v>42524</v>
      </c>
      <c r="C429" s="260">
        <v>625</v>
      </c>
      <c r="D429" s="261">
        <v>12.8</v>
      </c>
      <c r="E429" s="261">
        <v>0</v>
      </c>
      <c r="F429" s="261">
        <f t="shared" si="44"/>
        <v>8000</v>
      </c>
      <c r="G429" s="265">
        <v>42524</v>
      </c>
      <c r="H429" s="266">
        <v>625</v>
      </c>
      <c r="I429" s="261">
        <v>12.85</v>
      </c>
      <c r="J429" s="261">
        <v>0.18</v>
      </c>
      <c r="K429" s="261">
        <f>H429*I429-J429</f>
        <v>8031.07</v>
      </c>
      <c r="L429" s="260"/>
      <c r="M429" s="260"/>
    </row>
    <row r="430" spans="1:13" x14ac:dyDescent="0.25">
      <c r="A430" s="260"/>
      <c r="B430" s="577">
        <v>42530</v>
      </c>
      <c r="C430" s="260">
        <v>500</v>
      </c>
      <c r="D430" s="261">
        <v>12.25</v>
      </c>
      <c r="E430" s="261">
        <v>0</v>
      </c>
      <c r="F430" s="261">
        <f t="shared" si="44"/>
        <v>6125</v>
      </c>
      <c r="G430" s="265">
        <v>42530</v>
      </c>
      <c r="H430" s="266">
        <v>500</v>
      </c>
      <c r="I430" s="261">
        <v>12.61</v>
      </c>
      <c r="J430" s="261">
        <v>0.14000000000000001</v>
      </c>
      <c r="K430" s="261">
        <f>H430*I430-J430</f>
        <v>6304.86</v>
      </c>
      <c r="L430" s="260"/>
      <c r="M430" s="260"/>
    </row>
    <row r="431" spans="1:13" x14ac:dyDescent="0.25">
      <c r="A431" s="260"/>
      <c r="B431" s="577">
        <v>42531</v>
      </c>
      <c r="C431" s="260">
        <v>760</v>
      </c>
      <c r="D431" s="261">
        <v>12.19</v>
      </c>
      <c r="E431" s="261">
        <v>0</v>
      </c>
      <c r="F431" s="261">
        <f t="shared" si="44"/>
        <v>9264.4</v>
      </c>
      <c r="G431" s="260"/>
      <c r="H431" s="260"/>
      <c r="I431" s="261"/>
      <c r="J431" s="261"/>
      <c r="K431" s="261"/>
      <c r="L431" s="260"/>
      <c r="M431" s="260"/>
    </row>
    <row r="432" spans="1:13" x14ac:dyDescent="0.25">
      <c r="A432" s="260"/>
      <c r="B432" s="577">
        <v>42537</v>
      </c>
      <c r="C432" s="260">
        <v>500</v>
      </c>
      <c r="D432" s="261">
        <v>11.71</v>
      </c>
      <c r="E432" s="261">
        <v>0</v>
      </c>
      <c r="F432" s="261">
        <f t="shared" si="44"/>
        <v>5855</v>
      </c>
      <c r="G432" s="265">
        <v>42537</v>
      </c>
      <c r="H432" s="266">
        <v>500</v>
      </c>
      <c r="I432" s="261">
        <v>11.95</v>
      </c>
      <c r="J432" s="261">
        <v>0.13</v>
      </c>
      <c r="K432" s="261">
        <f t="shared" ref="K432:K438" si="45">H432*I432-J432</f>
        <v>5974.87</v>
      </c>
      <c r="L432" s="260"/>
      <c r="M432" s="260"/>
    </row>
    <row r="433" spans="1:13" x14ac:dyDescent="0.25">
      <c r="A433" s="260"/>
      <c r="B433" s="577">
        <v>42541</v>
      </c>
      <c r="C433" s="260">
        <v>500</v>
      </c>
      <c r="D433" s="261">
        <v>12.4</v>
      </c>
      <c r="E433" s="261">
        <v>0</v>
      </c>
      <c r="F433" s="261">
        <f t="shared" si="44"/>
        <v>6200</v>
      </c>
      <c r="G433" s="265">
        <v>42541</v>
      </c>
      <c r="H433" s="266">
        <v>760</v>
      </c>
      <c r="I433" s="261">
        <v>12.63</v>
      </c>
      <c r="J433" s="261">
        <v>0.21</v>
      </c>
      <c r="K433" s="261">
        <f t="shared" si="45"/>
        <v>9598.590000000002</v>
      </c>
      <c r="L433" s="260"/>
      <c r="M433" s="260"/>
    </row>
    <row r="434" spans="1:13" x14ac:dyDescent="0.25">
      <c r="A434" s="260"/>
      <c r="B434" s="577">
        <v>42541</v>
      </c>
      <c r="C434" s="260">
        <v>100</v>
      </c>
      <c r="D434" s="261">
        <v>12.32</v>
      </c>
      <c r="E434" s="261">
        <v>0</v>
      </c>
      <c r="F434" s="261">
        <f t="shared" si="44"/>
        <v>1232</v>
      </c>
      <c r="G434" s="461">
        <v>42542</v>
      </c>
      <c r="H434" s="266">
        <v>600</v>
      </c>
      <c r="I434" s="261">
        <v>12.79</v>
      </c>
      <c r="J434" s="261">
        <v>0.17</v>
      </c>
      <c r="K434" s="261">
        <f t="shared" si="45"/>
        <v>7673.829999999999</v>
      </c>
      <c r="L434" s="260"/>
      <c r="M434" s="260"/>
    </row>
    <row r="435" spans="1:13" x14ac:dyDescent="0.25">
      <c r="A435" s="260"/>
      <c r="B435" s="577">
        <v>42545</v>
      </c>
      <c r="C435" s="260">
        <v>500</v>
      </c>
      <c r="D435" s="261">
        <v>13.52</v>
      </c>
      <c r="E435" s="261">
        <v>0</v>
      </c>
      <c r="F435" s="261">
        <f t="shared" si="44"/>
        <v>6760</v>
      </c>
      <c r="G435" s="265">
        <v>42544</v>
      </c>
      <c r="H435" s="266">
        <v>400</v>
      </c>
      <c r="I435" s="261">
        <v>13.42</v>
      </c>
      <c r="J435" s="261">
        <v>0.12</v>
      </c>
      <c r="K435" s="261">
        <f t="shared" si="45"/>
        <v>5367.88</v>
      </c>
      <c r="L435" s="260"/>
      <c r="M435" s="260"/>
    </row>
    <row r="436" spans="1:13" x14ac:dyDescent="0.25">
      <c r="A436" s="260"/>
      <c r="B436" s="577">
        <v>42545</v>
      </c>
      <c r="C436" s="260">
        <v>500</v>
      </c>
      <c r="D436" s="261">
        <v>13.46</v>
      </c>
      <c r="E436" s="261">
        <v>0</v>
      </c>
      <c r="F436" s="261">
        <f t="shared" si="44"/>
        <v>6730</v>
      </c>
      <c r="G436" s="265">
        <v>42544</v>
      </c>
      <c r="H436" s="266">
        <v>600</v>
      </c>
      <c r="I436" s="261">
        <v>13.78</v>
      </c>
      <c r="J436" s="261">
        <v>0.18</v>
      </c>
      <c r="K436" s="261">
        <f t="shared" si="45"/>
        <v>8267.82</v>
      </c>
      <c r="L436" s="260"/>
      <c r="M436" s="260"/>
    </row>
    <row r="437" spans="1:13" x14ac:dyDescent="0.25">
      <c r="A437" s="260"/>
      <c r="B437" s="577">
        <v>42545</v>
      </c>
      <c r="C437" s="260">
        <v>500</v>
      </c>
      <c r="D437" s="261">
        <v>13.32</v>
      </c>
      <c r="E437" s="261">
        <v>0</v>
      </c>
      <c r="F437" s="261">
        <f t="shared" si="44"/>
        <v>6660</v>
      </c>
      <c r="G437" s="265">
        <v>42544</v>
      </c>
      <c r="H437" s="266">
        <v>500</v>
      </c>
      <c r="I437" s="261">
        <v>14.05</v>
      </c>
      <c r="J437" s="261">
        <v>0.15</v>
      </c>
      <c r="K437" s="261">
        <f t="shared" si="45"/>
        <v>7024.85</v>
      </c>
      <c r="L437" s="260"/>
      <c r="M437" s="260"/>
    </row>
    <row r="438" spans="1:13" x14ac:dyDescent="0.25">
      <c r="A438" s="260"/>
      <c r="B438" s="577">
        <v>42548</v>
      </c>
      <c r="C438" s="260">
        <v>760</v>
      </c>
      <c r="D438" s="261">
        <v>12.81</v>
      </c>
      <c r="E438" s="261">
        <v>-3.8</v>
      </c>
      <c r="F438" s="261">
        <f t="shared" si="44"/>
        <v>9731.8000000000011</v>
      </c>
      <c r="G438" s="265">
        <v>42549</v>
      </c>
      <c r="H438" s="266">
        <v>760</v>
      </c>
      <c r="I438" s="261">
        <v>12.97</v>
      </c>
      <c r="J438" s="261">
        <v>0.21</v>
      </c>
      <c r="K438" s="261">
        <f t="shared" si="45"/>
        <v>9856.9900000000016</v>
      </c>
      <c r="L438" s="260"/>
      <c r="M438" s="260"/>
    </row>
    <row r="439" spans="1:13" x14ac:dyDescent="0.25">
      <c r="A439" s="260"/>
      <c r="B439" s="577">
        <v>42548</v>
      </c>
      <c r="C439" s="260">
        <v>500</v>
      </c>
      <c r="D439" s="261">
        <v>12.58</v>
      </c>
      <c r="E439" s="261">
        <v>0</v>
      </c>
      <c r="F439" s="261">
        <f t="shared" si="44"/>
        <v>6290</v>
      </c>
      <c r="G439" s="265">
        <v>42551</v>
      </c>
      <c r="H439" s="266">
        <v>500</v>
      </c>
      <c r="I439" s="261">
        <v>13.75</v>
      </c>
      <c r="J439" s="261">
        <v>7.1</v>
      </c>
      <c r="K439" s="261">
        <f>H439*I439-J439</f>
        <v>6867.9</v>
      </c>
      <c r="L439" s="260"/>
      <c r="M439" s="260"/>
    </row>
    <row r="440" spans="1:13" x14ac:dyDescent="0.25">
      <c r="A440" s="260"/>
      <c r="B440" s="577">
        <v>42551</v>
      </c>
      <c r="C440" s="260">
        <v>500</v>
      </c>
      <c r="D440" s="261">
        <v>12.42</v>
      </c>
      <c r="E440" s="261">
        <v>6.95</v>
      </c>
      <c r="F440" s="261">
        <f t="shared" si="44"/>
        <v>6216.95</v>
      </c>
      <c r="G440" s="260"/>
      <c r="H440" s="260"/>
      <c r="I440" s="261"/>
      <c r="J440" s="261"/>
      <c r="K440" s="261"/>
      <c r="L440" s="260"/>
      <c r="M440" s="260"/>
    </row>
    <row r="441" spans="1:13" x14ac:dyDescent="0.25">
      <c r="A441" s="260"/>
      <c r="B441" s="577">
        <v>42556</v>
      </c>
      <c r="C441" s="266">
        <v>500</v>
      </c>
      <c r="D441" s="261">
        <v>11.88</v>
      </c>
      <c r="E441" s="261">
        <v>-2.5</v>
      </c>
      <c r="F441" s="261">
        <f t="shared" si="44"/>
        <v>5937.5</v>
      </c>
      <c r="G441" s="260"/>
      <c r="H441" s="260"/>
      <c r="I441" s="261"/>
      <c r="J441" s="261"/>
      <c r="K441" s="261"/>
      <c r="L441" s="260"/>
      <c r="M441" s="260"/>
    </row>
    <row r="442" spans="1:13" x14ac:dyDescent="0.25">
      <c r="A442" s="260"/>
      <c r="B442" s="577">
        <v>42558</v>
      </c>
      <c r="C442" s="260">
        <v>500</v>
      </c>
      <c r="D442" s="261">
        <v>12.28</v>
      </c>
      <c r="E442" s="261">
        <v>0</v>
      </c>
      <c r="F442" s="261">
        <f t="shared" si="44"/>
        <v>6140</v>
      </c>
      <c r="G442" s="265">
        <v>42558</v>
      </c>
      <c r="H442" s="266">
        <v>1000</v>
      </c>
      <c r="I442" s="261">
        <v>12.48</v>
      </c>
      <c r="J442" s="261">
        <v>0.27</v>
      </c>
      <c r="K442" s="261">
        <f t="shared" ref="K442:K474" si="46">H442*I442-J442</f>
        <v>12479.73</v>
      </c>
      <c r="L442" s="260"/>
      <c r="M442" s="260"/>
    </row>
    <row r="443" spans="1:13" x14ac:dyDescent="0.25">
      <c r="A443" s="260"/>
      <c r="B443" s="577">
        <v>42578</v>
      </c>
      <c r="C443" s="260">
        <v>200</v>
      </c>
      <c r="D443" s="261">
        <v>14.12</v>
      </c>
      <c r="E443" s="261">
        <v>0</v>
      </c>
      <c r="F443" s="261">
        <f t="shared" ref="F443:F470" si="47">C443*D443+E443</f>
        <v>2824</v>
      </c>
      <c r="G443" s="265">
        <v>42576</v>
      </c>
      <c r="H443" s="266">
        <v>500</v>
      </c>
      <c r="I443" s="261">
        <v>13.82</v>
      </c>
      <c r="J443" s="261">
        <v>0.15</v>
      </c>
      <c r="K443" s="261">
        <f t="shared" si="46"/>
        <v>6909.85</v>
      </c>
      <c r="L443" s="260"/>
      <c r="M443" s="260"/>
    </row>
    <row r="444" spans="1:13" x14ac:dyDescent="0.25">
      <c r="A444" s="265"/>
      <c r="B444" s="577">
        <v>42579</v>
      </c>
      <c r="C444" s="260">
        <v>300</v>
      </c>
      <c r="D444" s="261">
        <v>13.82</v>
      </c>
      <c r="E444" s="261">
        <v>0</v>
      </c>
      <c r="F444" s="261">
        <f t="shared" si="47"/>
        <v>4146</v>
      </c>
      <c r="G444" s="265">
        <v>42577</v>
      </c>
      <c r="H444" s="260">
        <v>500</v>
      </c>
      <c r="I444" s="261">
        <v>14.33</v>
      </c>
      <c r="J444" s="261">
        <v>0.16</v>
      </c>
      <c r="K444" s="261">
        <f t="shared" si="46"/>
        <v>7164.84</v>
      </c>
      <c r="L444" s="260"/>
      <c r="M444" s="260"/>
    </row>
    <row r="445" spans="1:13" x14ac:dyDescent="0.25">
      <c r="A445" s="260"/>
      <c r="B445" s="577">
        <v>42579</v>
      </c>
      <c r="C445" s="260">
        <v>300</v>
      </c>
      <c r="D445" s="261">
        <v>13.82</v>
      </c>
      <c r="E445" s="261">
        <v>0</v>
      </c>
      <c r="F445" s="261">
        <f t="shared" si="47"/>
        <v>4146</v>
      </c>
      <c r="G445" s="265">
        <v>42577</v>
      </c>
      <c r="H445" s="260">
        <v>300</v>
      </c>
      <c r="I445" s="261">
        <v>14.58</v>
      </c>
      <c r="J445" s="261">
        <v>0.1</v>
      </c>
      <c r="K445" s="261">
        <f t="shared" si="46"/>
        <v>4373.8999999999996</v>
      </c>
      <c r="L445" s="260"/>
      <c r="M445" s="260"/>
    </row>
    <row r="446" spans="1:13" x14ac:dyDescent="0.25">
      <c r="A446" s="260"/>
      <c r="B446" s="577">
        <v>42580</v>
      </c>
      <c r="C446" s="260">
        <v>500</v>
      </c>
      <c r="D446" s="261">
        <v>13.62</v>
      </c>
      <c r="E446" s="261">
        <v>0</v>
      </c>
      <c r="F446" s="261">
        <f t="shared" si="47"/>
        <v>6810</v>
      </c>
      <c r="G446" s="265">
        <v>42586</v>
      </c>
      <c r="H446" s="260">
        <v>200</v>
      </c>
      <c r="I446" s="261">
        <v>13.89</v>
      </c>
      <c r="J446" s="261">
        <v>-0.54</v>
      </c>
      <c r="K446" s="261">
        <f t="shared" si="46"/>
        <v>2778.54</v>
      </c>
      <c r="L446" s="260"/>
      <c r="M446" s="260"/>
    </row>
    <row r="447" spans="1:13" x14ac:dyDescent="0.25">
      <c r="A447" s="260"/>
      <c r="B447" s="577">
        <v>42584</v>
      </c>
      <c r="C447" s="260">
        <v>200</v>
      </c>
      <c r="D447" s="261">
        <v>13.08</v>
      </c>
      <c r="E447" s="261">
        <v>0</v>
      </c>
      <c r="F447" s="261">
        <f t="shared" si="47"/>
        <v>2616</v>
      </c>
      <c r="G447" s="265">
        <v>42587</v>
      </c>
      <c r="H447" s="260">
        <v>500</v>
      </c>
      <c r="I447" s="261">
        <v>14.65</v>
      </c>
      <c r="J447" s="261">
        <v>0.16</v>
      </c>
      <c r="K447" s="261">
        <f t="shared" si="46"/>
        <v>7324.84</v>
      </c>
      <c r="L447" s="260"/>
      <c r="M447" s="260"/>
    </row>
    <row r="448" spans="1:13" x14ac:dyDescent="0.25">
      <c r="A448" s="260"/>
      <c r="B448" s="577">
        <v>42599</v>
      </c>
      <c r="C448" s="260">
        <v>500</v>
      </c>
      <c r="D448" s="261">
        <v>15.6</v>
      </c>
      <c r="E448" s="261">
        <v>0</v>
      </c>
      <c r="F448" s="261">
        <f t="shared" si="47"/>
        <v>7800</v>
      </c>
      <c r="G448" s="265">
        <v>42593</v>
      </c>
      <c r="H448" s="260">
        <v>500</v>
      </c>
      <c r="I448" s="261">
        <v>14.45</v>
      </c>
      <c r="J448" s="261">
        <v>0.16</v>
      </c>
      <c r="K448" s="261">
        <f t="shared" si="46"/>
        <v>7224.84</v>
      </c>
      <c r="L448" s="260"/>
      <c r="M448" s="706" t="s">
        <v>266</v>
      </c>
    </row>
    <row r="449" spans="1:13" x14ac:dyDescent="0.25">
      <c r="A449" s="260"/>
      <c r="B449" s="577">
        <v>42619</v>
      </c>
      <c r="C449" s="260">
        <v>200</v>
      </c>
      <c r="D449" s="261">
        <v>16.850000000000001</v>
      </c>
      <c r="E449" s="261">
        <v>0</v>
      </c>
      <c r="F449" s="261">
        <f t="shared" si="47"/>
        <v>3370.0000000000005</v>
      </c>
      <c r="G449" s="265">
        <v>42594</v>
      </c>
      <c r="H449" s="260">
        <v>500</v>
      </c>
      <c r="I449" s="261">
        <v>14.88</v>
      </c>
      <c r="J449" s="261">
        <v>0.16</v>
      </c>
      <c r="K449" s="261">
        <f t="shared" si="46"/>
        <v>7439.84</v>
      </c>
      <c r="L449" s="260"/>
      <c r="M449" s="706"/>
    </row>
    <row r="450" spans="1:13" x14ac:dyDescent="0.25">
      <c r="A450" s="260"/>
      <c r="B450" s="577">
        <v>42619</v>
      </c>
      <c r="C450" s="260">
        <v>300</v>
      </c>
      <c r="D450" s="261">
        <v>16.850000000000001</v>
      </c>
      <c r="E450" s="261">
        <v>0</v>
      </c>
      <c r="F450" s="261">
        <f t="shared" si="47"/>
        <v>5055</v>
      </c>
      <c r="G450" s="265">
        <v>42594</v>
      </c>
      <c r="H450" s="260">
        <v>500</v>
      </c>
      <c r="I450" s="261">
        <v>14.98</v>
      </c>
      <c r="J450" s="261">
        <v>0.16</v>
      </c>
      <c r="K450" s="261">
        <f t="shared" si="46"/>
        <v>7489.84</v>
      </c>
      <c r="L450" s="260"/>
      <c r="M450" s="706"/>
    </row>
    <row r="451" spans="1:13" x14ac:dyDescent="0.25">
      <c r="A451" s="260"/>
      <c r="B451" s="577">
        <v>42620</v>
      </c>
      <c r="C451" s="260">
        <v>500</v>
      </c>
      <c r="D451" s="261">
        <v>17.12</v>
      </c>
      <c r="E451" s="261">
        <v>0</v>
      </c>
      <c r="F451" s="261">
        <f t="shared" si="47"/>
        <v>8560</v>
      </c>
      <c r="G451" s="265">
        <v>42597</v>
      </c>
      <c r="H451" s="260">
        <v>500</v>
      </c>
      <c r="I451" s="261">
        <v>15.48</v>
      </c>
      <c r="J451" s="261">
        <v>0.17</v>
      </c>
      <c r="K451" s="261">
        <f t="shared" si="46"/>
        <v>7739.83</v>
      </c>
      <c r="L451" s="260"/>
      <c r="M451" s="706"/>
    </row>
    <row r="452" spans="1:13" x14ac:dyDescent="0.25">
      <c r="A452" s="260"/>
      <c r="B452" s="577">
        <v>42622</v>
      </c>
      <c r="C452" s="260">
        <v>500</v>
      </c>
      <c r="D452" s="261">
        <v>17.05</v>
      </c>
      <c r="E452" s="261">
        <v>-2.5</v>
      </c>
      <c r="F452" s="261">
        <f t="shared" si="47"/>
        <v>8522.5</v>
      </c>
      <c r="G452" s="265">
        <v>42599</v>
      </c>
      <c r="H452" s="260">
        <v>500</v>
      </c>
      <c r="I452" s="261">
        <v>15.75</v>
      </c>
      <c r="J452" s="261">
        <v>0.17</v>
      </c>
      <c r="K452" s="261">
        <f t="shared" si="46"/>
        <v>7874.83</v>
      </c>
      <c r="L452" s="260"/>
      <c r="M452" s="260"/>
    </row>
    <row r="453" spans="1:13" x14ac:dyDescent="0.25">
      <c r="A453" s="260"/>
      <c r="B453" s="577">
        <v>42626</v>
      </c>
      <c r="C453" s="260">
        <v>100</v>
      </c>
      <c r="D453" s="261">
        <v>16.48</v>
      </c>
      <c r="E453" s="261">
        <v>0</v>
      </c>
      <c r="F453" s="261">
        <f t="shared" si="47"/>
        <v>1648</v>
      </c>
      <c r="G453" s="265">
        <v>42619</v>
      </c>
      <c r="H453" s="260">
        <v>500</v>
      </c>
      <c r="I453" s="261">
        <v>17.079999999999998</v>
      </c>
      <c r="J453" s="261">
        <v>0.19</v>
      </c>
      <c r="K453" s="261">
        <f t="shared" si="46"/>
        <v>8539.81</v>
      </c>
      <c r="L453" s="260"/>
      <c r="M453" s="260"/>
    </row>
    <row r="454" spans="1:13" x14ac:dyDescent="0.25">
      <c r="A454" s="260"/>
      <c r="B454" s="577">
        <v>42641</v>
      </c>
      <c r="C454" s="260">
        <v>200</v>
      </c>
      <c r="D454" s="261">
        <v>17.260000000000002</v>
      </c>
      <c r="E454" s="261">
        <v>-0.68</v>
      </c>
      <c r="F454" s="261">
        <f t="shared" si="47"/>
        <v>3451.3200000000006</v>
      </c>
      <c r="G454" s="265">
        <v>42620</v>
      </c>
      <c r="H454" s="260">
        <v>500</v>
      </c>
      <c r="I454" s="261">
        <v>17.28</v>
      </c>
      <c r="J454" s="261">
        <v>0.19</v>
      </c>
      <c r="K454" s="261">
        <f t="shared" si="46"/>
        <v>8639.81</v>
      </c>
      <c r="L454" s="260"/>
      <c r="M454" s="260"/>
    </row>
    <row r="455" spans="1:13" x14ac:dyDescent="0.25">
      <c r="A455" s="260"/>
      <c r="B455" s="577">
        <v>42647</v>
      </c>
      <c r="C455" s="260">
        <v>200</v>
      </c>
      <c r="D455" s="261">
        <v>17.079999999999998</v>
      </c>
      <c r="E455" s="261">
        <v>0</v>
      </c>
      <c r="F455" s="261">
        <f t="shared" si="47"/>
        <v>3415.9999999999995</v>
      </c>
      <c r="G455" s="265">
        <v>42621</v>
      </c>
      <c r="H455" s="260">
        <v>500</v>
      </c>
      <c r="I455" s="261">
        <v>17.43</v>
      </c>
      <c r="J455" s="261">
        <v>0.19</v>
      </c>
      <c r="K455" s="261">
        <f t="shared" si="46"/>
        <v>8714.81</v>
      </c>
      <c r="L455" s="260"/>
      <c r="M455" s="260"/>
    </row>
    <row r="456" spans="1:13" x14ac:dyDescent="0.25">
      <c r="A456" s="260"/>
      <c r="B456" s="577">
        <v>42654</v>
      </c>
      <c r="C456" s="260">
        <v>200</v>
      </c>
      <c r="D456" s="261">
        <v>16.68</v>
      </c>
      <c r="E456" s="261">
        <v>0</v>
      </c>
      <c r="F456" s="261">
        <f t="shared" si="47"/>
        <v>3336</v>
      </c>
      <c r="G456" s="265">
        <v>42634</v>
      </c>
      <c r="H456" s="260">
        <v>500</v>
      </c>
      <c r="I456" s="261">
        <v>17.63</v>
      </c>
      <c r="J456" s="261">
        <v>2.69</v>
      </c>
      <c r="K456" s="261">
        <f t="shared" si="46"/>
        <v>8812.31</v>
      </c>
      <c r="L456" s="260"/>
      <c r="M456" s="260"/>
    </row>
    <row r="457" spans="1:13" x14ac:dyDescent="0.25">
      <c r="A457" s="260"/>
      <c r="B457" s="577">
        <v>42670</v>
      </c>
      <c r="C457" s="260">
        <v>150</v>
      </c>
      <c r="D457" s="261">
        <v>17.510000000000002</v>
      </c>
      <c r="E457" s="261">
        <v>0</v>
      </c>
      <c r="F457" s="261">
        <f t="shared" si="47"/>
        <v>2626.5000000000005</v>
      </c>
      <c r="G457" s="265">
        <v>42662</v>
      </c>
      <c r="H457" s="266">
        <v>200</v>
      </c>
      <c r="I457" s="261">
        <v>17.239999999999998</v>
      </c>
      <c r="J457" s="261">
        <v>0.08</v>
      </c>
      <c r="K457" s="261">
        <f t="shared" si="46"/>
        <v>3447.9199999999996</v>
      </c>
      <c r="L457" s="260"/>
      <c r="M457" s="260"/>
    </row>
    <row r="458" spans="1:13" x14ac:dyDescent="0.25">
      <c r="A458" s="260"/>
      <c r="B458" s="577">
        <v>42670</v>
      </c>
      <c r="C458" s="260">
        <v>200</v>
      </c>
      <c r="D458" s="261">
        <v>17.510000000000002</v>
      </c>
      <c r="E458" s="261">
        <v>0</v>
      </c>
      <c r="F458" s="261">
        <f t="shared" si="47"/>
        <v>3502.0000000000005</v>
      </c>
      <c r="G458" s="265">
        <v>42668</v>
      </c>
      <c r="H458" s="260">
        <v>200</v>
      </c>
      <c r="I458" s="261">
        <v>17.55</v>
      </c>
      <c r="J458" s="261">
        <v>0.08</v>
      </c>
      <c r="K458" s="261">
        <f t="shared" si="46"/>
        <v>3509.92</v>
      </c>
      <c r="L458" s="260"/>
      <c r="M458" s="260"/>
    </row>
    <row r="459" spans="1:13" x14ac:dyDescent="0.25">
      <c r="A459" s="260"/>
      <c r="B459" s="577">
        <v>42670</v>
      </c>
      <c r="C459" s="260">
        <v>450</v>
      </c>
      <c r="D459" s="261">
        <v>17.510000000000002</v>
      </c>
      <c r="E459" s="261">
        <v>0</v>
      </c>
      <c r="F459" s="261">
        <f t="shared" si="47"/>
        <v>7879.5000000000009</v>
      </c>
      <c r="G459" s="265">
        <v>42669</v>
      </c>
      <c r="H459" s="260">
        <v>800</v>
      </c>
      <c r="I459" s="261">
        <v>17.760000000000002</v>
      </c>
      <c r="J459" s="261">
        <v>0.31</v>
      </c>
      <c r="K459" s="261">
        <f t="shared" si="46"/>
        <v>14207.690000000002</v>
      </c>
      <c r="L459" s="260"/>
      <c r="M459" s="260"/>
    </row>
    <row r="460" spans="1:13" x14ac:dyDescent="0.25">
      <c r="A460" s="260"/>
      <c r="B460" s="577">
        <v>42670</v>
      </c>
      <c r="C460" s="260">
        <v>200</v>
      </c>
      <c r="D460" s="261">
        <v>17.420000000000002</v>
      </c>
      <c r="E460" s="261">
        <v>0</v>
      </c>
      <c r="F460" s="261">
        <f t="shared" si="47"/>
        <v>3484.0000000000005</v>
      </c>
      <c r="G460" s="265">
        <v>42671</v>
      </c>
      <c r="H460" s="260">
        <v>400</v>
      </c>
      <c r="I460" s="261">
        <v>17.64</v>
      </c>
      <c r="J460" s="261">
        <v>0.15</v>
      </c>
      <c r="K460" s="261">
        <f t="shared" si="46"/>
        <v>7055.85</v>
      </c>
      <c r="L460" s="260"/>
      <c r="M460" s="260"/>
    </row>
    <row r="461" spans="1:13" x14ac:dyDescent="0.25">
      <c r="A461" s="260"/>
      <c r="B461" s="577">
        <v>42671</v>
      </c>
      <c r="C461" s="260">
        <v>400</v>
      </c>
      <c r="D461" s="261">
        <v>17.3</v>
      </c>
      <c r="E461" s="261">
        <v>0</v>
      </c>
      <c r="F461" s="261">
        <f t="shared" si="47"/>
        <v>6920</v>
      </c>
      <c r="G461" s="265">
        <v>42675</v>
      </c>
      <c r="H461" s="260">
        <v>200</v>
      </c>
      <c r="I461" s="261">
        <v>16.989999999999998</v>
      </c>
      <c r="J461" s="261">
        <v>7.0000000000000007E-2</v>
      </c>
      <c r="K461" s="261">
        <f t="shared" si="46"/>
        <v>3397.9299999999994</v>
      </c>
      <c r="L461" s="260"/>
      <c r="M461" s="260"/>
    </row>
    <row r="462" spans="1:13" x14ac:dyDescent="0.25">
      <c r="A462" s="260"/>
      <c r="B462" s="577">
        <v>42675</v>
      </c>
      <c r="C462" s="260">
        <v>200</v>
      </c>
      <c r="D462" s="261">
        <v>16.89</v>
      </c>
      <c r="E462" s="261">
        <v>0</v>
      </c>
      <c r="F462" s="261">
        <f t="shared" si="47"/>
        <v>3378</v>
      </c>
      <c r="G462" s="265">
        <v>42678</v>
      </c>
      <c r="H462" s="260">
        <v>200</v>
      </c>
      <c r="I462" s="261">
        <v>17</v>
      </c>
      <c r="J462" s="261">
        <v>7.0000000000000007E-2</v>
      </c>
      <c r="K462" s="261">
        <f t="shared" si="46"/>
        <v>3399.93</v>
      </c>
      <c r="L462" s="260"/>
      <c r="M462" s="260"/>
    </row>
    <row r="463" spans="1:13" x14ac:dyDescent="0.25">
      <c r="A463" s="260"/>
      <c r="B463" s="577">
        <v>42678</v>
      </c>
      <c r="C463" s="260">
        <v>200</v>
      </c>
      <c r="D463" s="261">
        <v>16.8</v>
      </c>
      <c r="E463" s="261">
        <v>0</v>
      </c>
      <c r="F463" s="261">
        <f t="shared" si="47"/>
        <v>3360</v>
      </c>
      <c r="G463" s="265">
        <v>42685</v>
      </c>
      <c r="H463" s="260">
        <v>200</v>
      </c>
      <c r="I463" s="261">
        <v>17.579999999999998</v>
      </c>
      <c r="J463" s="261">
        <v>0.08</v>
      </c>
      <c r="K463" s="261">
        <f t="shared" si="46"/>
        <v>3515.9199999999996</v>
      </c>
      <c r="L463" s="260"/>
      <c r="M463" s="260"/>
    </row>
    <row r="464" spans="1:13" x14ac:dyDescent="0.25">
      <c r="A464" s="260"/>
      <c r="B464" s="577">
        <v>42705</v>
      </c>
      <c r="C464" s="260">
        <v>150</v>
      </c>
      <c r="D464" s="261">
        <v>19.079999999999998</v>
      </c>
      <c r="E464" s="261">
        <v>0</v>
      </c>
      <c r="F464" s="261">
        <f t="shared" si="47"/>
        <v>2861.9999999999995</v>
      </c>
      <c r="G464" s="265">
        <v>42702</v>
      </c>
      <c r="H464" s="260">
        <v>150</v>
      </c>
      <c r="I464" s="261">
        <v>20.11</v>
      </c>
      <c r="J464" s="261">
        <v>7.0000000000000007E-2</v>
      </c>
      <c r="K464" s="261">
        <f t="shared" si="46"/>
        <v>3016.43</v>
      </c>
      <c r="L464" s="260"/>
      <c r="M464" s="260"/>
    </row>
    <row r="465" spans="1:13" x14ac:dyDescent="0.25">
      <c r="A465" s="260"/>
      <c r="B465" s="577">
        <v>42705</v>
      </c>
      <c r="C465" s="260">
        <v>200</v>
      </c>
      <c r="D465" s="261">
        <v>18.2</v>
      </c>
      <c r="E465" s="261">
        <v>0</v>
      </c>
      <c r="F465" s="261">
        <f t="shared" si="47"/>
        <v>3640</v>
      </c>
      <c r="G465" s="265">
        <v>42706</v>
      </c>
      <c r="H465" s="260">
        <v>200</v>
      </c>
      <c r="I465" s="261">
        <v>18.79</v>
      </c>
      <c r="J465" s="261">
        <v>0.08</v>
      </c>
      <c r="K465" s="261">
        <f t="shared" si="46"/>
        <v>3757.92</v>
      </c>
      <c r="L465" s="260"/>
      <c r="M465" s="260"/>
    </row>
    <row r="466" spans="1:13" x14ac:dyDescent="0.25">
      <c r="A466" s="260"/>
      <c r="B466" s="577"/>
      <c r="C466" s="260"/>
      <c r="D466" s="261"/>
      <c r="E466" s="261"/>
      <c r="F466" s="261">
        <f t="shared" si="47"/>
        <v>0</v>
      </c>
      <c r="G466" s="265">
        <v>42710</v>
      </c>
      <c r="H466" s="260">
        <v>200</v>
      </c>
      <c r="I466" s="261">
        <v>18.98</v>
      </c>
      <c r="J466" s="261">
        <v>0.08</v>
      </c>
      <c r="K466" s="261">
        <f t="shared" si="46"/>
        <v>3795.92</v>
      </c>
      <c r="L466" s="260"/>
      <c r="M466" s="260"/>
    </row>
    <row r="467" spans="1:13" x14ac:dyDescent="0.25">
      <c r="A467" s="260"/>
      <c r="B467" s="577"/>
      <c r="C467" s="260"/>
      <c r="D467" s="261"/>
      <c r="E467" s="261"/>
      <c r="F467" s="261">
        <f t="shared" si="47"/>
        <v>0</v>
      </c>
      <c r="G467" s="711" t="s">
        <v>329</v>
      </c>
      <c r="H467" s="260">
        <v>100</v>
      </c>
      <c r="I467" s="261">
        <v>19.68</v>
      </c>
      <c r="J467" s="261">
        <v>0.04</v>
      </c>
      <c r="K467" s="261">
        <f t="shared" si="46"/>
        <v>1967.96</v>
      </c>
      <c r="L467" s="260"/>
      <c r="M467" s="260"/>
    </row>
    <row r="468" spans="1:13" x14ac:dyDescent="0.25">
      <c r="A468" s="260"/>
      <c r="B468" s="577"/>
      <c r="C468" s="260"/>
      <c r="D468" s="261"/>
      <c r="E468" s="261"/>
      <c r="F468" s="261">
        <f t="shared" si="47"/>
        <v>0</v>
      </c>
      <c r="G468" s="711"/>
      <c r="H468" s="260">
        <v>200</v>
      </c>
      <c r="I468" s="261">
        <v>19.88</v>
      </c>
      <c r="J468" s="261">
        <v>0.09</v>
      </c>
      <c r="K468" s="261">
        <f t="shared" si="46"/>
        <v>3975.91</v>
      </c>
      <c r="L468" s="260"/>
      <c r="M468" s="260"/>
    </row>
    <row r="469" spans="1:13" x14ac:dyDescent="0.25">
      <c r="A469" s="260"/>
      <c r="B469" s="577"/>
      <c r="C469" s="260"/>
      <c r="D469" s="261"/>
      <c r="E469" s="261"/>
      <c r="F469" s="261">
        <f t="shared" si="47"/>
        <v>0</v>
      </c>
      <c r="G469" s="711"/>
      <c r="H469" s="260">
        <v>200</v>
      </c>
      <c r="I469" s="261">
        <v>20.32</v>
      </c>
      <c r="J469" s="261">
        <v>0.09</v>
      </c>
      <c r="K469" s="261">
        <f t="shared" si="46"/>
        <v>4063.91</v>
      </c>
      <c r="L469" s="260"/>
      <c r="M469" s="260"/>
    </row>
    <row r="470" spans="1:13" x14ac:dyDescent="0.25">
      <c r="A470" s="260"/>
      <c r="B470" s="577"/>
      <c r="C470" s="260"/>
      <c r="D470" s="261"/>
      <c r="E470" s="261"/>
      <c r="F470" s="261">
        <f t="shared" si="47"/>
        <v>0</v>
      </c>
      <c r="G470" s="711"/>
      <c r="H470" s="260">
        <v>300</v>
      </c>
      <c r="I470" s="261">
        <v>20.53</v>
      </c>
      <c r="J470" s="261">
        <v>0.13</v>
      </c>
      <c r="K470" s="261">
        <f t="shared" si="46"/>
        <v>6158.87</v>
      </c>
      <c r="L470" s="260"/>
      <c r="M470" s="260"/>
    </row>
    <row r="471" spans="1:13" x14ac:dyDescent="0.25">
      <c r="A471" s="260"/>
      <c r="B471" s="577"/>
      <c r="C471" s="260"/>
      <c r="D471" s="261"/>
      <c r="E471" s="261"/>
      <c r="F471" s="261"/>
      <c r="G471" s="265">
        <v>42716</v>
      </c>
      <c r="H471" s="260">
        <v>200</v>
      </c>
      <c r="I471" s="261">
        <v>19.899999999999999</v>
      </c>
      <c r="J471" s="261">
        <v>0.09</v>
      </c>
      <c r="K471" s="261">
        <f t="shared" si="46"/>
        <v>3979.9099999999994</v>
      </c>
      <c r="L471" s="260"/>
      <c r="M471" s="260"/>
    </row>
    <row r="472" spans="1:13" x14ac:dyDescent="0.25">
      <c r="A472" s="260"/>
      <c r="B472" s="577"/>
      <c r="C472" s="260"/>
      <c r="D472" s="260"/>
      <c r="E472" s="260"/>
      <c r="F472" s="260"/>
      <c r="G472" s="265">
        <v>42716</v>
      </c>
      <c r="H472" s="260">
        <v>150</v>
      </c>
      <c r="I472" s="261">
        <v>19.989999999999998</v>
      </c>
      <c r="J472" s="261">
        <v>7.0000000000000007E-2</v>
      </c>
      <c r="K472" s="261">
        <f t="shared" si="46"/>
        <v>2998.4299999999994</v>
      </c>
      <c r="L472" s="260"/>
      <c r="M472" s="260"/>
    </row>
    <row r="473" spans="1:13" x14ac:dyDescent="0.25">
      <c r="A473" s="260"/>
      <c r="B473" s="577"/>
      <c r="C473" s="260"/>
      <c r="D473" s="260"/>
      <c r="E473" s="260"/>
      <c r="F473" s="260"/>
      <c r="G473" s="265">
        <v>42717</v>
      </c>
      <c r="H473" s="260">
        <v>100</v>
      </c>
      <c r="I473" s="261">
        <v>20.350000000000001</v>
      </c>
      <c r="J473" s="261">
        <v>0.04</v>
      </c>
      <c r="K473" s="261">
        <f t="shared" si="46"/>
        <v>2034.9600000000003</v>
      </c>
      <c r="L473" s="260"/>
      <c r="M473" s="260"/>
    </row>
    <row r="474" spans="1:13" x14ac:dyDescent="0.25">
      <c r="A474" s="260"/>
      <c r="B474" s="577"/>
      <c r="C474" s="260"/>
      <c r="D474" s="260"/>
      <c r="E474" s="260"/>
      <c r="F474" s="260"/>
      <c r="G474" s="265">
        <v>42738</v>
      </c>
      <c r="H474" s="260">
        <v>350</v>
      </c>
      <c r="I474" s="261">
        <v>22.58</v>
      </c>
      <c r="J474" s="261">
        <v>0.55000000000000004</v>
      </c>
      <c r="K474" s="261">
        <f t="shared" si="46"/>
        <v>7902.4499999999989</v>
      </c>
      <c r="L474" s="260"/>
      <c r="M474" s="260"/>
    </row>
    <row r="475" spans="1:13" x14ac:dyDescent="0.25">
      <c r="A475" s="260"/>
      <c r="B475" s="577"/>
      <c r="C475" s="260"/>
      <c r="D475" s="260"/>
      <c r="E475" s="260"/>
      <c r="F475" s="260"/>
      <c r="G475" s="260"/>
      <c r="H475" s="260"/>
      <c r="I475" s="261"/>
      <c r="J475" s="261"/>
      <c r="K475" s="261"/>
      <c r="L475" s="260"/>
      <c r="M475" s="260"/>
    </row>
    <row r="476" spans="1:13" x14ac:dyDescent="0.25">
      <c r="A476" s="260"/>
      <c r="B476" s="577">
        <v>42710</v>
      </c>
      <c r="C476" s="260">
        <v>200</v>
      </c>
      <c r="D476" s="261">
        <v>18.75</v>
      </c>
      <c r="E476" s="261">
        <v>0</v>
      </c>
      <c r="F476" s="261">
        <f t="shared" ref="F476:F481" si="48">C476*D476+E476</f>
        <v>3750</v>
      </c>
      <c r="G476" s="577">
        <v>42759</v>
      </c>
      <c r="H476" s="260">
        <v>200</v>
      </c>
      <c r="I476" s="261">
        <v>22.97</v>
      </c>
      <c r="J476" s="261">
        <v>0.1</v>
      </c>
      <c r="K476" s="261">
        <f>H476*I476-J476</f>
        <v>4593.8999999999996</v>
      </c>
      <c r="L476" s="260"/>
      <c r="M476" s="260"/>
    </row>
    <row r="477" spans="1:13" x14ac:dyDescent="0.25">
      <c r="A477" s="260"/>
      <c r="B477" s="577">
        <v>42716</v>
      </c>
      <c r="C477" s="260">
        <v>200</v>
      </c>
      <c r="D477" s="261">
        <v>20.100000000000001</v>
      </c>
      <c r="E477" s="261">
        <v>-1</v>
      </c>
      <c r="F477" s="261">
        <f t="shared" si="48"/>
        <v>4019.0000000000005</v>
      </c>
      <c r="G477" s="577">
        <v>42760</v>
      </c>
      <c r="H477" s="266">
        <v>600</v>
      </c>
      <c r="I477" s="261">
        <v>23.78</v>
      </c>
      <c r="J477" s="261">
        <v>0.31</v>
      </c>
      <c r="K477" s="261">
        <f>H477*I477-J477</f>
        <v>14267.69</v>
      </c>
      <c r="L477" s="260"/>
      <c r="M477" s="260"/>
    </row>
    <row r="478" spans="1:13" x14ac:dyDescent="0.25">
      <c r="A478" s="260"/>
      <c r="B478" s="577">
        <v>42716</v>
      </c>
      <c r="C478" s="260">
        <v>200</v>
      </c>
      <c r="D478" s="261">
        <v>19.850000000000001</v>
      </c>
      <c r="E478" s="261">
        <v>0</v>
      </c>
      <c r="F478" s="261">
        <f t="shared" si="48"/>
        <v>3970.0000000000005</v>
      </c>
      <c r="G478" s="577">
        <v>42762</v>
      </c>
      <c r="H478" s="266">
        <v>400</v>
      </c>
      <c r="I478" s="261">
        <v>23.98</v>
      </c>
      <c r="J478" s="261">
        <v>0.21</v>
      </c>
      <c r="K478" s="261">
        <f>H478*I478-J478</f>
        <v>9591.7900000000009</v>
      </c>
      <c r="L478" s="260"/>
      <c r="M478" s="260"/>
    </row>
    <row r="479" spans="1:13" x14ac:dyDescent="0.25">
      <c r="A479" s="260"/>
      <c r="B479" s="577">
        <v>42716</v>
      </c>
      <c r="C479" s="260">
        <v>600</v>
      </c>
      <c r="D479" s="261">
        <v>19.600000000000001</v>
      </c>
      <c r="E479" s="261">
        <v>0</v>
      </c>
      <c r="F479" s="261">
        <f t="shared" si="48"/>
        <v>11760</v>
      </c>
      <c r="G479" s="265"/>
      <c r="H479" s="260"/>
      <c r="I479" s="261"/>
      <c r="J479" s="261"/>
      <c r="K479" s="261"/>
      <c r="L479" s="260"/>
      <c r="M479" s="260"/>
    </row>
    <row r="480" spans="1:13" x14ac:dyDescent="0.25">
      <c r="A480" s="260"/>
      <c r="B480" s="500">
        <v>42738</v>
      </c>
      <c r="C480" s="7">
        <v>100</v>
      </c>
      <c r="D480" s="44">
        <v>22.35</v>
      </c>
      <c r="E480" s="44">
        <v>0</v>
      </c>
      <c r="F480" s="44">
        <f t="shared" si="48"/>
        <v>2235</v>
      </c>
      <c r="G480" s="500">
        <v>42769</v>
      </c>
      <c r="H480" s="81">
        <v>100</v>
      </c>
      <c r="I480" s="44">
        <v>25.15</v>
      </c>
      <c r="J480" s="44">
        <v>0.05</v>
      </c>
      <c r="K480" s="44">
        <f>I480*H480-J480</f>
        <v>2514.9499999999998</v>
      </c>
      <c r="L480" s="260"/>
      <c r="M480" s="260"/>
    </row>
    <row r="481" spans="1:13" x14ac:dyDescent="0.25">
      <c r="A481" s="260"/>
      <c r="B481" s="500">
        <v>42738</v>
      </c>
      <c r="C481" s="7">
        <v>100</v>
      </c>
      <c r="D481" s="7">
        <v>22.35</v>
      </c>
      <c r="E481" s="44">
        <v>0</v>
      </c>
      <c r="F481" s="44">
        <f t="shared" si="48"/>
        <v>2235</v>
      </c>
      <c r="G481" s="500">
        <v>42782</v>
      </c>
      <c r="H481" s="81">
        <v>100</v>
      </c>
      <c r="I481" s="44">
        <v>23.3</v>
      </c>
      <c r="J481" s="44">
        <v>0.05</v>
      </c>
      <c r="K481" s="44">
        <f>I481*H481-J481</f>
        <v>2329.9499999999998</v>
      </c>
      <c r="L481" s="260"/>
      <c r="M481" s="260"/>
    </row>
    <row r="482" spans="1:13" x14ac:dyDescent="0.25">
      <c r="A482" s="260"/>
      <c r="B482" s="577"/>
      <c r="C482" s="260"/>
      <c r="D482" s="260"/>
      <c r="E482" s="260"/>
      <c r="F482" s="260"/>
      <c r="G482" s="260"/>
      <c r="H482" s="260"/>
      <c r="I482" s="261"/>
      <c r="J482" s="261"/>
      <c r="K482" s="261"/>
      <c r="L482" s="260"/>
      <c r="M482" s="260"/>
    </row>
    <row r="483" spans="1:13" x14ac:dyDescent="0.25">
      <c r="A483" s="260"/>
      <c r="B483" s="577"/>
      <c r="C483" s="260"/>
      <c r="D483" s="260"/>
      <c r="E483" s="260"/>
      <c r="F483" s="260"/>
      <c r="G483" s="260"/>
      <c r="H483" s="260"/>
      <c r="I483" s="261"/>
      <c r="J483" s="261"/>
      <c r="K483" s="261"/>
      <c r="L483" s="260"/>
      <c r="M483" s="260"/>
    </row>
    <row r="484" spans="1:13" x14ac:dyDescent="0.25">
      <c r="A484" s="260"/>
      <c r="B484" s="577"/>
      <c r="C484" s="260"/>
      <c r="D484" s="260"/>
      <c r="E484" s="260"/>
      <c r="F484" s="260"/>
      <c r="G484" s="260"/>
      <c r="H484" s="260"/>
      <c r="I484" s="261"/>
      <c r="J484" s="261"/>
      <c r="K484" s="261"/>
      <c r="L484" s="260"/>
      <c r="M484" s="260"/>
    </row>
    <row r="485" spans="1:13" x14ac:dyDescent="0.25">
      <c r="A485" s="260"/>
      <c r="B485" s="577"/>
      <c r="C485" s="260"/>
      <c r="D485" s="260"/>
      <c r="E485" s="260"/>
      <c r="F485" s="260"/>
      <c r="G485" s="260"/>
      <c r="H485" s="260"/>
      <c r="I485" s="261"/>
      <c r="J485" s="261"/>
      <c r="K485" s="261"/>
      <c r="L485" s="260"/>
      <c r="M485" s="260"/>
    </row>
    <row r="486" spans="1:13" x14ac:dyDescent="0.25">
      <c r="A486" s="260"/>
      <c r="B486" s="577"/>
      <c r="C486" s="260"/>
      <c r="D486" s="260"/>
      <c r="E486" s="260"/>
      <c r="F486" s="260"/>
      <c r="G486" s="260"/>
      <c r="H486" s="260"/>
      <c r="I486" s="261"/>
      <c r="J486" s="261"/>
      <c r="K486" s="261"/>
      <c r="L486" s="260"/>
      <c r="M486" s="260"/>
    </row>
    <row r="487" spans="1:13" x14ac:dyDescent="0.25">
      <c r="A487" s="260"/>
      <c r="B487" s="577"/>
      <c r="C487" s="260"/>
      <c r="D487" s="260"/>
      <c r="E487" s="260"/>
      <c r="F487" s="260"/>
      <c r="G487" s="260"/>
      <c r="H487" s="260"/>
      <c r="I487" s="261"/>
      <c r="J487" s="261"/>
      <c r="K487" s="261"/>
      <c r="L487" s="260"/>
      <c r="M487" s="260"/>
    </row>
    <row r="488" spans="1:13" x14ac:dyDescent="0.25">
      <c r="A488" s="32" t="s">
        <v>81</v>
      </c>
      <c r="B488" s="14"/>
      <c r="C488" s="14">
        <f>SUM(C324:C487)</f>
        <v>63085</v>
      </c>
      <c r="D488" s="14"/>
      <c r="E488" s="14"/>
      <c r="F488" s="18">
        <f>SUM(F324:F487)</f>
        <v>897616.80300000007</v>
      </c>
      <c r="G488" s="14"/>
      <c r="H488" s="14">
        <f>SUM(H324:H487)</f>
        <v>63085</v>
      </c>
      <c r="I488" s="18"/>
      <c r="J488" s="18"/>
      <c r="K488" s="18">
        <f>SUM(K324:K487)</f>
        <v>910167.20000000007</v>
      </c>
      <c r="L488" s="18"/>
      <c r="M488" s="18">
        <f>SUM(M324:M487)</f>
        <v>0</v>
      </c>
    </row>
    <row r="489" spans="1:13" ht="15.75" thickBot="1" x14ac:dyDescent="0.3">
      <c r="A489" s="462" t="s">
        <v>197</v>
      </c>
      <c r="B489" s="463"/>
      <c r="C489" s="464">
        <f>SumByColor($A$23,C324:C487)</f>
        <v>200</v>
      </c>
      <c r="D489" s="464"/>
      <c r="E489" s="464"/>
      <c r="F489" s="465">
        <f>SumByColor($A$23,F324:F487)</f>
        <v>4470</v>
      </c>
      <c r="G489" s="464"/>
      <c r="H489" s="464">
        <f>SumByColor($A$23,H324:H487)</f>
        <v>200</v>
      </c>
      <c r="I489" s="464"/>
      <c r="J489" s="464"/>
      <c r="K489" s="465">
        <f>SumByColor($A$23,K324:K487)</f>
        <v>4845</v>
      </c>
      <c r="L489" s="464"/>
      <c r="M489" s="465">
        <f>SumByColor($A$23,M324:M487)</f>
        <v>0</v>
      </c>
    </row>
  </sheetData>
  <mergeCells count="12">
    <mergeCell ref="G467:G470"/>
    <mergeCell ref="B373:B374"/>
    <mergeCell ref="G373:G374"/>
    <mergeCell ref="B375:B378"/>
    <mergeCell ref="A414:A416"/>
    <mergeCell ref="M448:M451"/>
    <mergeCell ref="G335:G336"/>
    <mergeCell ref="G359:G361"/>
    <mergeCell ref="O44:P44"/>
    <mergeCell ref="G13:G14"/>
    <mergeCell ref="G145:G148"/>
    <mergeCell ref="M126:M129"/>
  </mergeCells>
  <conditionalFormatting sqref="P16:P28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63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615" priority="61">
      <formula>F162&gt;0</formula>
    </cfRule>
    <cfRule type="expression" dxfId="614" priority="62">
      <formula>F162&lt;0</formula>
    </cfRule>
  </conditionalFormatting>
  <conditionalFormatting sqref="H162:H173">
    <cfRule type="expression" dxfId="613" priority="53">
      <formula>H162&gt;0</formula>
    </cfRule>
    <cfRule type="expression" dxfId="612" priority="54">
      <formula>H162&lt;0</formula>
    </cfRule>
  </conditionalFormatting>
  <conditionalFormatting sqref="H174">
    <cfRule type="expression" dxfId="611" priority="43">
      <formula>H174&gt;0</formula>
    </cfRule>
    <cfRule type="expression" dxfId="610" priority="44">
      <formula>H174&lt;0</formula>
    </cfRule>
  </conditionalFormatting>
  <conditionalFormatting sqref="H175">
    <cfRule type="expression" dxfId="609" priority="39">
      <formula>H175&gt;0</formula>
    </cfRule>
    <cfRule type="expression" dxfId="608" priority="40">
      <formula>H175&lt;0</formula>
    </cfRule>
  </conditionalFormatting>
  <conditionalFormatting sqref="H176:H181">
    <cfRule type="expression" dxfId="607" priority="35">
      <formula>H176&gt;0</formula>
    </cfRule>
    <cfRule type="expression" dxfId="606" priority="36">
      <formula>H176&lt;0</formula>
    </cfRule>
  </conditionalFormatting>
  <conditionalFormatting sqref="Q8">
    <cfRule type="expression" dxfId="605" priority="19">
      <formula>Q8&gt;0</formula>
    </cfRule>
    <cfRule type="expression" dxfId="604" priority="20">
      <formula>Q8&lt;0</formula>
    </cfRule>
  </conditionalFormatting>
  <conditionalFormatting sqref="Q7">
    <cfRule type="expression" dxfId="603" priority="21">
      <formula>Q7&gt;0</formula>
    </cfRule>
    <cfRule type="expression" dxfId="602" priority="22">
      <formula>Q7&lt;0</formula>
    </cfRule>
  </conditionalFormatting>
  <conditionalFormatting sqref="F293 H293">
    <cfRule type="expression" dxfId="601" priority="17">
      <formula>F293&gt;0</formula>
    </cfRule>
    <cfRule type="expression" dxfId="600" priority="18">
      <formula>F293&lt;0</formula>
    </cfRule>
  </conditionalFormatting>
  <conditionalFormatting sqref="F30:F61">
    <cfRule type="expression" dxfId="599" priority="15">
      <formula>F30&gt;0</formula>
    </cfRule>
    <cfRule type="expression" dxfId="598" priority="16">
      <formula>F30&lt;0</formula>
    </cfRule>
  </conditionalFormatting>
  <conditionalFormatting sqref="H30:H61">
    <cfRule type="expression" dxfId="597" priority="13">
      <formula>H30&gt;0</formula>
    </cfRule>
    <cfRule type="expression" dxfId="596" priority="14">
      <formula>H30&lt;0</formula>
    </cfRule>
  </conditionalFormatting>
  <conditionalFormatting sqref="Q10">
    <cfRule type="expression" dxfId="595" priority="11">
      <formula>Q10&gt;0</formula>
    </cfRule>
    <cfRule type="expression" dxfId="594" priority="12">
      <formula>Q10&lt;0</formula>
    </cfRule>
  </conditionalFormatting>
  <conditionalFormatting sqref="J37">
    <cfRule type="expression" dxfId="593" priority="9">
      <formula>J37&gt;0</formula>
    </cfRule>
    <cfRule type="expression" dxfId="592" priority="10">
      <formula>J37&lt;0</formula>
    </cfRule>
  </conditionalFormatting>
  <conditionalFormatting sqref="J43:J44">
    <cfRule type="expression" dxfId="591" priority="7">
      <formula>J43&gt;0</formula>
    </cfRule>
    <cfRule type="expression" dxfId="590" priority="8">
      <formula>J43&lt;0</formula>
    </cfRule>
  </conditionalFormatting>
  <conditionalFormatting sqref="Q9">
    <cfRule type="expression" dxfId="589" priority="5">
      <formula>Q9&gt;0</formula>
    </cfRule>
    <cfRule type="expression" dxfId="588" priority="6">
      <formula>Q9&lt;0</formula>
    </cfRule>
  </conditionalFormatting>
  <conditionalFormatting sqref="J45">
    <cfRule type="expression" dxfId="587" priority="3">
      <formula>J45&gt;0</formula>
    </cfRule>
    <cfRule type="expression" dxfId="586" priority="4">
      <formula>J45&lt;0</formula>
    </cfRule>
  </conditionalFormatting>
  <conditionalFormatting sqref="J46:J53">
    <cfRule type="expression" dxfId="585" priority="1">
      <formula>J46&gt;0</formula>
    </cfRule>
    <cfRule type="expression" dxfId="584" priority="2">
      <formula>J46&lt;0</formula>
    </cfRule>
  </conditionalFormatting>
  <hyperlinks>
    <hyperlink ref="A3" location="ACTIVE!A1" display="Back"/>
    <hyperlink ref="A325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42797</v>
      </c>
      <c r="X2" s="102">
        <v>53.73</v>
      </c>
      <c r="Y2" s="102">
        <v>54.25</v>
      </c>
      <c r="Z2" s="102">
        <v>53.65</v>
      </c>
      <c r="AA2" s="102">
        <v>54</v>
      </c>
      <c r="AB2" s="100">
        <v>2942800</v>
      </c>
      <c r="AC2" s="99">
        <v>54</v>
      </c>
      <c r="AD2" s="2">
        <f>Y2-Z2</f>
        <v>0.60000000000000142</v>
      </c>
      <c r="AE2" s="137">
        <f>AC2/AC3-1</f>
        <v>5.2122114668653463E-3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4"/>
      <c r="O3" s="11" t="s">
        <v>58</v>
      </c>
      <c r="Q3" s="2">
        <f>IF(Q2=0, Q4, (F18-K18-M18)/Q2)</f>
        <v>50.7</v>
      </c>
      <c r="S3" s="114"/>
      <c r="T3" s="17"/>
      <c r="U3" s="17"/>
      <c r="V3" s="17"/>
      <c r="W3" s="98">
        <v>42796</v>
      </c>
      <c r="X3" s="102">
        <v>53.5</v>
      </c>
      <c r="Y3" s="102">
        <v>54.11</v>
      </c>
      <c r="Z3" s="102">
        <v>53.39</v>
      </c>
      <c r="AA3" s="102">
        <v>53.72</v>
      </c>
      <c r="AB3" s="100">
        <v>3816500</v>
      </c>
      <c r="AC3" s="99">
        <v>53.72</v>
      </c>
      <c r="AD3" s="2">
        <f t="shared" ref="AD3:AD66" si="0">Y3-Z3</f>
        <v>0.71999999999999886</v>
      </c>
      <c r="AE3" s="137">
        <f t="shared" ref="AE3:AE66" si="1">AC3/AC4-1</f>
        <v>9.3161915408979112E-4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50.7</v>
      </c>
      <c r="R4" s="517">
        <v>-5.9999999999999995E-4</v>
      </c>
      <c r="W4" s="98">
        <v>42795</v>
      </c>
      <c r="X4" s="102">
        <v>53.23</v>
      </c>
      <c r="Y4" s="102">
        <v>53.87</v>
      </c>
      <c r="Z4" s="102">
        <v>53.21</v>
      </c>
      <c r="AA4" s="102">
        <v>53.67</v>
      </c>
      <c r="AB4" s="100">
        <v>3095200</v>
      </c>
      <c r="AC4" s="99">
        <v>53.67</v>
      </c>
      <c r="AD4" s="2">
        <f t="shared" si="0"/>
        <v>0.65999999999999659</v>
      </c>
      <c r="AE4" s="137">
        <f t="shared" si="1"/>
        <v>1.8406072106261773E-2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42794</v>
      </c>
      <c r="X5" s="102">
        <v>52.73</v>
      </c>
      <c r="Y5" s="102">
        <v>53</v>
      </c>
      <c r="Z5" s="102">
        <v>52.54</v>
      </c>
      <c r="AA5" s="102">
        <v>52.7</v>
      </c>
      <c r="AB5" s="100">
        <v>3447500</v>
      </c>
      <c r="AC5" s="99">
        <v>52.7</v>
      </c>
      <c r="AD5" s="2">
        <f t="shared" si="0"/>
        <v>0.46000000000000085</v>
      </c>
      <c r="AE5" s="137">
        <f t="shared" si="1"/>
        <v>-3.5923615050104107E-3</v>
      </c>
    </row>
    <row r="6" spans="1:31" x14ac:dyDescent="0.25">
      <c r="O6" s="11" t="s">
        <v>64</v>
      </c>
      <c r="Q6" s="2">
        <f>Q3*Q2</f>
        <v>0</v>
      </c>
      <c r="S6" s="84"/>
      <c r="W6" s="98">
        <v>42793</v>
      </c>
      <c r="X6" s="102">
        <v>52.41</v>
      </c>
      <c r="Y6" s="102">
        <v>53.07</v>
      </c>
      <c r="Z6" s="102">
        <v>52.41</v>
      </c>
      <c r="AA6" s="102">
        <v>52.89</v>
      </c>
      <c r="AB6" s="100">
        <v>3016600</v>
      </c>
      <c r="AC6" s="99">
        <v>52.89</v>
      </c>
      <c r="AD6" s="2">
        <f t="shared" si="0"/>
        <v>0.66000000000000369</v>
      </c>
      <c r="AE6" s="137">
        <f t="shared" si="1"/>
        <v>5.1311288483466555E-3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42790</v>
      </c>
      <c r="X7" s="102">
        <v>52</v>
      </c>
      <c r="Y7" s="102">
        <v>52.67</v>
      </c>
      <c r="Z7" s="102">
        <v>51.9</v>
      </c>
      <c r="AA7" s="102">
        <v>52.62</v>
      </c>
      <c r="AB7" s="100">
        <v>2330700</v>
      </c>
      <c r="AC7" s="99">
        <v>52.62</v>
      </c>
      <c r="AD7" s="2">
        <f t="shared" si="0"/>
        <v>0.77000000000000313</v>
      </c>
      <c r="AE7" s="137">
        <f t="shared" si="1"/>
        <v>7.6599004212944966E-3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42789</v>
      </c>
      <c r="X8" s="102">
        <v>52.26</v>
      </c>
      <c r="Y8" s="102">
        <v>52.89</v>
      </c>
      <c r="Z8" s="102">
        <v>51.93</v>
      </c>
      <c r="AA8" s="102">
        <v>52.22</v>
      </c>
      <c r="AB8" s="100">
        <v>3609600</v>
      </c>
      <c r="AC8" s="99">
        <v>52.22</v>
      </c>
      <c r="AD8" s="2">
        <f t="shared" si="0"/>
        <v>0.96000000000000085</v>
      </c>
      <c r="AE8" s="137">
        <f t="shared" si="1"/>
        <v>3.6517393811261734E-3</v>
      </c>
    </row>
    <row r="9" spans="1:31" x14ac:dyDescent="0.25">
      <c r="O9" s="11" t="s">
        <v>213</v>
      </c>
      <c r="Q9" s="137">
        <f>IF(Q2=0, 0, Q8/Q6)</f>
        <v>0</v>
      </c>
      <c r="W9" s="98">
        <v>42788</v>
      </c>
      <c r="X9" s="102">
        <v>52.33</v>
      </c>
      <c r="Y9" s="102">
        <v>52.38</v>
      </c>
      <c r="Z9" s="102">
        <v>51.46</v>
      </c>
      <c r="AA9" s="102">
        <v>52.03</v>
      </c>
      <c r="AB9" s="100">
        <v>2956300</v>
      </c>
      <c r="AC9" s="99">
        <v>52.03</v>
      </c>
      <c r="AD9" s="2">
        <f t="shared" si="0"/>
        <v>0.92000000000000171</v>
      </c>
      <c r="AE9" s="137">
        <f t="shared" si="1"/>
        <v>-1.3836239575435894E-2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42787</v>
      </c>
      <c r="X10" s="102">
        <v>52.25</v>
      </c>
      <c r="Y10" s="102">
        <v>52.85</v>
      </c>
      <c r="Z10" s="102">
        <v>52.15</v>
      </c>
      <c r="AA10" s="102">
        <v>52.76</v>
      </c>
      <c r="AB10" s="100">
        <v>2499700</v>
      </c>
      <c r="AC10" s="99">
        <v>52.76</v>
      </c>
      <c r="AD10" s="2">
        <f t="shared" si="0"/>
        <v>0.70000000000000284</v>
      </c>
      <c r="AE10" s="137">
        <f t="shared" si="1"/>
        <v>1.1697027804410398E-2</v>
      </c>
    </row>
    <row r="11" spans="1:31" x14ac:dyDescent="0.25">
      <c r="O11" s="11" t="s">
        <v>178</v>
      </c>
      <c r="P11" s="34"/>
      <c r="Q11" s="137">
        <f>VALUE(TRIM(CLEAN(MID(U58, FIND("(", U58)+1, 5))))</f>
        <v>3.44E-2</v>
      </c>
      <c r="W11" s="98">
        <v>42783</v>
      </c>
      <c r="X11" s="102">
        <v>53.2</v>
      </c>
      <c r="Y11" s="102">
        <v>53.36</v>
      </c>
      <c r="Z11" s="102">
        <v>51.93</v>
      </c>
      <c r="AA11" s="102">
        <v>52.15</v>
      </c>
      <c r="AB11" s="100">
        <v>3897100</v>
      </c>
      <c r="AC11" s="99">
        <v>52.15</v>
      </c>
      <c r="AD11" s="2">
        <f t="shared" si="0"/>
        <v>1.4299999999999997</v>
      </c>
      <c r="AE11" s="137">
        <f t="shared" si="1"/>
        <v>-2.3042337954290115E-2</v>
      </c>
    </row>
    <row r="12" spans="1:31" x14ac:dyDescent="0.25">
      <c r="W12" s="98">
        <v>42782</v>
      </c>
      <c r="X12" s="102">
        <v>52.86</v>
      </c>
      <c r="Y12" s="102">
        <v>53.5</v>
      </c>
      <c r="Z12" s="102">
        <v>52.73</v>
      </c>
      <c r="AA12" s="102">
        <v>53.38</v>
      </c>
      <c r="AB12" s="100">
        <v>2912400</v>
      </c>
      <c r="AC12" s="99">
        <v>53.38</v>
      </c>
      <c r="AD12" s="2">
        <f t="shared" si="0"/>
        <v>0.77000000000000313</v>
      </c>
      <c r="AE12" s="137">
        <f t="shared" si="1"/>
        <v>1.1751326762699188E-2</v>
      </c>
    </row>
    <row r="13" spans="1:31" x14ac:dyDescent="0.25">
      <c r="W13" s="98">
        <v>42781</v>
      </c>
      <c r="X13" s="102">
        <v>52.91</v>
      </c>
      <c r="Y13" s="102">
        <v>53.4</v>
      </c>
      <c r="Z13" s="102">
        <v>52.7</v>
      </c>
      <c r="AA13" s="102">
        <v>52.76</v>
      </c>
      <c r="AB13" s="100">
        <v>4401300</v>
      </c>
      <c r="AC13" s="99">
        <v>52.76</v>
      </c>
      <c r="AD13" s="2">
        <f t="shared" si="0"/>
        <v>0.69999999999999574</v>
      </c>
      <c r="AE13" s="137">
        <f t="shared" si="1"/>
        <v>-2.2692889561272134E-3</v>
      </c>
    </row>
    <row r="14" spans="1:31" x14ac:dyDescent="0.25">
      <c r="W14" s="98">
        <v>42780</v>
      </c>
      <c r="X14" s="102">
        <v>52.49</v>
      </c>
      <c r="Y14" s="102">
        <v>52.92</v>
      </c>
      <c r="Z14" s="102">
        <v>52.33</v>
      </c>
      <c r="AA14" s="102">
        <v>52.88</v>
      </c>
      <c r="AB14" s="100">
        <v>2880200</v>
      </c>
      <c r="AC14" s="99">
        <v>52.88</v>
      </c>
      <c r="AD14" s="2">
        <f t="shared" si="0"/>
        <v>0.59000000000000341</v>
      </c>
      <c r="AE14" s="137">
        <f t="shared" si="1"/>
        <v>3.7965072133636646E-3</v>
      </c>
    </row>
    <row r="15" spans="1:31" x14ac:dyDescent="0.25">
      <c r="W15" s="98">
        <v>42779</v>
      </c>
      <c r="X15" s="102">
        <v>52.5</v>
      </c>
      <c r="Y15" s="102">
        <v>53.47</v>
      </c>
      <c r="Z15" s="102">
        <v>52.35</v>
      </c>
      <c r="AA15" s="102">
        <v>52.68</v>
      </c>
      <c r="AB15" s="100">
        <v>3833700</v>
      </c>
      <c r="AC15" s="99">
        <v>52.68</v>
      </c>
      <c r="AD15" s="2">
        <f t="shared" si="0"/>
        <v>1.1199999999999974</v>
      </c>
      <c r="AE15" s="137" t="e">
        <f t="shared" si="1"/>
        <v>#DIV/0!</v>
      </c>
    </row>
    <row r="16" spans="1:31" x14ac:dyDescent="0.25">
      <c r="W16" s="98">
        <v>42779</v>
      </c>
      <c r="X16" s="102" t="s">
        <v>321</v>
      </c>
      <c r="Y16" s="102"/>
      <c r="Z16" s="102"/>
      <c r="AA16" s="102"/>
      <c r="AB16" s="100"/>
      <c r="AC16" s="99"/>
      <c r="AD16" s="2">
        <f t="shared" si="0"/>
        <v>0</v>
      </c>
      <c r="AE16" s="137">
        <f t="shared" si="1"/>
        <v>-1</v>
      </c>
    </row>
    <row r="17" spans="1:31" x14ac:dyDescent="0.25">
      <c r="W17" s="98">
        <v>42776</v>
      </c>
      <c r="X17" s="102">
        <v>52.38</v>
      </c>
      <c r="Y17" s="102">
        <v>53.03</v>
      </c>
      <c r="Z17" s="102">
        <v>51.91</v>
      </c>
      <c r="AA17" s="102">
        <v>52.89</v>
      </c>
      <c r="AB17" s="100">
        <v>3815300</v>
      </c>
      <c r="AC17" s="99">
        <v>52.43</v>
      </c>
      <c r="AD17" s="2">
        <f t="shared" si="0"/>
        <v>1.1200000000000045</v>
      </c>
      <c r="AE17" s="137">
        <f t="shared" si="1"/>
        <v>1.4119922630560833E-2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42775</v>
      </c>
      <c r="X18" s="102">
        <v>53.1</v>
      </c>
      <c r="Y18" s="102">
        <v>53.1</v>
      </c>
      <c r="Z18" s="102">
        <v>52.05</v>
      </c>
      <c r="AA18" s="102">
        <v>52.16</v>
      </c>
      <c r="AB18" s="100">
        <v>4471000</v>
      </c>
      <c r="AC18" s="99">
        <v>51.7</v>
      </c>
      <c r="AD18" s="2">
        <f t="shared" si="0"/>
        <v>1.0500000000000043</v>
      </c>
      <c r="AE18" s="137">
        <f t="shared" si="1"/>
        <v>-1.7857142857142794E-2</v>
      </c>
    </row>
    <row r="19" spans="1:31" x14ac:dyDescent="0.25">
      <c r="W19" s="98">
        <v>42774</v>
      </c>
      <c r="X19" s="102">
        <v>52.02</v>
      </c>
      <c r="Y19" s="102">
        <v>53.96</v>
      </c>
      <c r="Z19" s="102">
        <v>51.67</v>
      </c>
      <c r="AA19" s="102">
        <v>53.1</v>
      </c>
      <c r="AB19" s="100">
        <v>7574600</v>
      </c>
      <c r="AC19" s="99">
        <v>52.64</v>
      </c>
      <c r="AD19" s="2">
        <f t="shared" si="0"/>
        <v>2.2899999999999991</v>
      </c>
      <c r="AE19" s="137">
        <f t="shared" si="1"/>
        <v>1.8772982388232995E-2</v>
      </c>
    </row>
    <row r="20" spans="1:31" x14ac:dyDescent="0.25">
      <c r="W20" s="98">
        <v>42773</v>
      </c>
      <c r="X20" s="102">
        <v>51.91</v>
      </c>
      <c r="Y20" s="102">
        <v>52.66</v>
      </c>
      <c r="Z20" s="102">
        <v>51.68</v>
      </c>
      <c r="AA20" s="102">
        <v>52.13</v>
      </c>
      <c r="AB20" s="100">
        <v>4606200</v>
      </c>
      <c r="AC20" s="99">
        <v>51.67</v>
      </c>
      <c r="AD20" s="2">
        <f t="shared" si="0"/>
        <v>0.97999999999999687</v>
      </c>
      <c r="AE20" s="137">
        <f t="shared" si="1"/>
        <v>1.0166177908113472E-2</v>
      </c>
    </row>
    <row r="21" spans="1:31" x14ac:dyDescent="0.25">
      <c r="W21" s="98">
        <v>42772</v>
      </c>
      <c r="X21" s="102">
        <v>52.33</v>
      </c>
      <c r="Y21" s="102">
        <v>52.33</v>
      </c>
      <c r="Z21" s="102">
        <v>50.6</v>
      </c>
      <c r="AA21" s="102">
        <v>51.6</v>
      </c>
      <c r="AB21" s="100">
        <v>6180300</v>
      </c>
      <c r="AC21" s="99">
        <v>51.15</v>
      </c>
      <c r="AD21" s="2">
        <f t="shared" si="0"/>
        <v>1.7299999999999969</v>
      </c>
      <c r="AE21" s="137">
        <f t="shared" si="1"/>
        <v>-2.6641294005708804E-2</v>
      </c>
    </row>
    <row r="22" spans="1:31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8">
        <v>42769</v>
      </c>
      <c r="X22" s="102">
        <v>53.55</v>
      </c>
      <c r="Y22" s="102">
        <v>53.67</v>
      </c>
      <c r="Z22" s="102">
        <v>52.22</v>
      </c>
      <c r="AA22" s="102">
        <v>53.01</v>
      </c>
      <c r="AB22" s="100">
        <v>5844200</v>
      </c>
      <c r="AC22" s="99">
        <v>52.55</v>
      </c>
      <c r="AD22" s="2">
        <f t="shared" si="0"/>
        <v>1.4500000000000028</v>
      </c>
      <c r="AE22" s="137">
        <f t="shared" si="1"/>
        <v>-6.2405446293495315E-3</v>
      </c>
    </row>
    <row r="23" spans="1:31" x14ac:dyDescent="0.25">
      <c r="B23" s="192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0">
        <f>(E23-D23)/D23</f>
        <v>-1.0092744135297258E-2</v>
      </c>
      <c r="I23" s="40"/>
      <c r="W23" s="98">
        <v>42768</v>
      </c>
      <c r="X23" s="102">
        <v>55.48</v>
      </c>
      <c r="Y23" s="102">
        <v>55.78</v>
      </c>
      <c r="Z23" s="102">
        <v>52.3</v>
      </c>
      <c r="AA23" s="102">
        <v>53.35</v>
      </c>
      <c r="AB23" s="100">
        <v>8057300</v>
      </c>
      <c r="AC23" s="99">
        <v>52.88</v>
      </c>
      <c r="AD23" s="2">
        <f t="shared" si="0"/>
        <v>3.480000000000004</v>
      </c>
      <c r="AE23" s="137">
        <f t="shared" si="1"/>
        <v>-5.5882878057489704E-2</v>
      </c>
    </row>
    <row r="24" spans="1:31" x14ac:dyDescent="0.25">
      <c r="B24" s="192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0">
        <f>(E24-D24)/D24</f>
        <v>-6.7921440261865654E-2</v>
      </c>
      <c r="I24" s="40"/>
      <c r="W24" s="98">
        <v>42767</v>
      </c>
      <c r="X24" s="102">
        <v>56.73</v>
      </c>
      <c r="Y24" s="102">
        <v>57.12</v>
      </c>
      <c r="Z24" s="102">
        <v>56.01</v>
      </c>
      <c r="AA24" s="102">
        <v>56.5</v>
      </c>
      <c r="AB24" s="100">
        <v>2990600</v>
      </c>
      <c r="AC24" s="99">
        <v>56.01</v>
      </c>
      <c r="AD24" s="2">
        <f t="shared" si="0"/>
        <v>1.1099999999999994</v>
      </c>
      <c r="AE24" s="137">
        <f t="shared" si="1"/>
        <v>-1.6042780748664054E-3</v>
      </c>
    </row>
    <row r="25" spans="1:31" x14ac:dyDescent="0.25">
      <c r="B25" s="192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0">
        <f>(E25-D25)/D25</f>
        <v>-5.4555373704299028E-4</v>
      </c>
      <c r="I25" s="40"/>
      <c r="W25" s="98">
        <v>42766</v>
      </c>
      <c r="X25" s="102">
        <v>56.83</v>
      </c>
      <c r="Y25" s="102">
        <v>57.36</v>
      </c>
      <c r="Z25" s="102">
        <v>56.21</v>
      </c>
      <c r="AA25" s="102">
        <v>56.6</v>
      </c>
      <c r="AB25" s="100">
        <v>3747000</v>
      </c>
      <c r="AC25" s="99">
        <v>56.1</v>
      </c>
      <c r="AD25" s="2">
        <f t="shared" si="0"/>
        <v>1.1499999999999986</v>
      </c>
      <c r="AE25" s="137">
        <f t="shared" si="1"/>
        <v>-5.1427558077673519E-3</v>
      </c>
    </row>
    <row r="26" spans="1:31" x14ac:dyDescent="0.25">
      <c r="B26" s="192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0">
        <f>(E26-D26)/D26</f>
        <v>3.2733224222587167E-3</v>
      </c>
      <c r="I26" s="40"/>
      <c r="W26" s="98">
        <v>42765</v>
      </c>
      <c r="X26" s="102">
        <v>57.02</v>
      </c>
      <c r="Y26" s="102">
        <v>57.02</v>
      </c>
      <c r="Z26" s="102">
        <v>56.31</v>
      </c>
      <c r="AA26" s="102">
        <v>56.89</v>
      </c>
      <c r="AB26" s="100">
        <v>2272300</v>
      </c>
      <c r="AC26" s="99">
        <v>56.39</v>
      </c>
      <c r="AD26" s="2">
        <f t="shared" si="0"/>
        <v>0.71000000000000085</v>
      </c>
      <c r="AE26" s="137">
        <f t="shared" si="1"/>
        <v>-7.9169598874032632E-3</v>
      </c>
    </row>
    <row r="27" spans="1:31" x14ac:dyDescent="0.25">
      <c r="B27" s="192">
        <v>42432</v>
      </c>
      <c r="C27" s="10">
        <v>0</v>
      </c>
      <c r="D27" s="40"/>
      <c r="E27" s="40"/>
      <c r="F27" s="40">
        <v>75.92</v>
      </c>
      <c r="G27" s="40"/>
      <c r="H27" s="230"/>
      <c r="I27" s="40"/>
      <c r="W27" s="98">
        <v>42762</v>
      </c>
      <c r="X27" s="102">
        <v>57.73</v>
      </c>
      <c r="Y27" s="102">
        <v>57.84</v>
      </c>
      <c r="Z27" s="102">
        <v>57.19</v>
      </c>
      <c r="AA27" s="102">
        <v>57.34</v>
      </c>
      <c r="AB27" s="100">
        <v>2044300</v>
      </c>
      <c r="AC27" s="99">
        <v>56.84</v>
      </c>
      <c r="AD27" s="2">
        <f t="shared" si="0"/>
        <v>0.65000000000000568</v>
      </c>
      <c r="AE27" s="137">
        <f t="shared" si="1"/>
        <v>-2.9819329942114559E-3</v>
      </c>
    </row>
    <row r="28" spans="1:31" x14ac:dyDescent="0.25">
      <c r="B28" s="192">
        <v>42445</v>
      </c>
      <c r="C28" s="10">
        <v>0</v>
      </c>
      <c r="D28" s="40"/>
      <c r="E28" s="40"/>
      <c r="F28" s="40">
        <v>119.92</v>
      </c>
      <c r="G28" s="40"/>
      <c r="H28" s="230"/>
      <c r="I28" s="40" t="s">
        <v>185</v>
      </c>
      <c r="W28" s="98">
        <v>42761</v>
      </c>
      <c r="X28" s="102">
        <v>58.61</v>
      </c>
      <c r="Y28" s="102">
        <v>58.86</v>
      </c>
      <c r="Z28" s="102">
        <v>57.37</v>
      </c>
      <c r="AA28" s="102">
        <v>57.51</v>
      </c>
      <c r="AB28" s="100">
        <v>3650500</v>
      </c>
      <c r="AC28" s="99">
        <v>57.01</v>
      </c>
      <c r="AD28" s="2">
        <f t="shared" si="0"/>
        <v>1.490000000000002</v>
      </c>
      <c r="AE28" s="137">
        <f t="shared" si="1"/>
        <v>-8.1767571329157684E-3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98">
        <v>42760</v>
      </c>
      <c r="X29" s="102">
        <v>56.48</v>
      </c>
      <c r="Y29" s="102">
        <v>58.26</v>
      </c>
      <c r="Z29" s="102">
        <v>56.46</v>
      </c>
      <c r="AA29" s="102">
        <v>57.99</v>
      </c>
      <c r="AB29" s="100">
        <v>5188000</v>
      </c>
      <c r="AC29" s="99">
        <v>57.48</v>
      </c>
      <c r="AD29" s="2">
        <f t="shared" si="0"/>
        <v>1.7999999999999972</v>
      </c>
      <c r="AE29" s="137">
        <f t="shared" si="1"/>
        <v>3.7357877639415227E-2</v>
      </c>
    </row>
    <row r="30" spans="1:31" x14ac:dyDescent="0.25">
      <c r="L30" t="s">
        <v>212</v>
      </c>
      <c r="M30" s="2">
        <f>M37+K37-F37</f>
        <v>119.92000000000053</v>
      </c>
      <c r="W30" s="98">
        <v>42759</v>
      </c>
      <c r="X30" s="102">
        <v>54.51</v>
      </c>
      <c r="Y30" s="102">
        <v>56.01</v>
      </c>
      <c r="Z30" s="102">
        <v>54.48</v>
      </c>
      <c r="AA30" s="102">
        <v>55.9</v>
      </c>
      <c r="AB30" s="100">
        <v>3820500</v>
      </c>
      <c r="AC30" s="99">
        <v>55.41</v>
      </c>
      <c r="AD30" s="2">
        <f t="shared" si="0"/>
        <v>1.5300000000000011</v>
      </c>
      <c r="AE30" s="137">
        <f t="shared" si="1"/>
        <v>2.9351662641649678E-2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4" t="s">
        <v>5</v>
      </c>
      <c r="E31" s="384" t="s">
        <v>90</v>
      </c>
      <c r="F31" s="384" t="s">
        <v>60</v>
      </c>
      <c r="G31" s="384" t="s">
        <v>3</v>
      </c>
      <c r="H31" s="413" t="s">
        <v>6</v>
      </c>
      <c r="I31" s="384" t="s">
        <v>7</v>
      </c>
      <c r="J31" s="384" t="s">
        <v>89</v>
      </c>
      <c r="K31" s="384" t="s">
        <v>61</v>
      </c>
      <c r="L31" s="384" t="s">
        <v>77</v>
      </c>
      <c r="M31" s="384" t="s">
        <v>38</v>
      </c>
      <c r="W31" s="98">
        <v>42758</v>
      </c>
      <c r="X31" s="102">
        <v>53.77</v>
      </c>
      <c r="Y31" s="102">
        <v>54.36</v>
      </c>
      <c r="Z31" s="102">
        <v>53.65</v>
      </c>
      <c r="AA31" s="102">
        <v>54.31</v>
      </c>
      <c r="AB31" s="100">
        <v>2406600</v>
      </c>
      <c r="AC31" s="99">
        <v>53.83</v>
      </c>
      <c r="AD31" s="2">
        <f t="shared" si="0"/>
        <v>0.71000000000000085</v>
      </c>
      <c r="AE31" s="137">
        <f t="shared" si="1"/>
        <v>1.1461856444945573E-2</v>
      </c>
    </row>
    <row r="32" spans="1:31" x14ac:dyDescent="0.25">
      <c r="A32" s="387" t="s">
        <v>174</v>
      </c>
      <c r="B32" s="377">
        <v>42376</v>
      </c>
      <c r="C32" s="378">
        <v>100</v>
      </c>
      <c r="D32" s="379">
        <v>36.659999999999997</v>
      </c>
      <c r="E32" s="379">
        <v>0</v>
      </c>
      <c r="F32" s="379">
        <f>C32*D32+E32</f>
        <v>3665.9999999999995</v>
      </c>
      <c r="G32" s="414">
        <v>42432</v>
      </c>
      <c r="H32" s="397">
        <v>100</v>
      </c>
      <c r="I32" s="398">
        <v>37.42</v>
      </c>
      <c r="J32" s="398">
        <v>0.08</v>
      </c>
      <c r="K32" s="399">
        <f>I32*H32-J32</f>
        <v>3741.92</v>
      </c>
      <c r="L32" s="377">
        <v>42444</v>
      </c>
      <c r="M32" s="398">
        <v>44</v>
      </c>
      <c r="W32" s="98">
        <v>42755</v>
      </c>
      <c r="X32" s="102">
        <v>53.75</v>
      </c>
      <c r="Y32" s="102">
        <v>53.96</v>
      </c>
      <c r="Z32" s="102">
        <v>53.13</v>
      </c>
      <c r="AA32" s="102">
        <v>53.69</v>
      </c>
      <c r="AB32" s="100">
        <v>3085300</v>
      </c>
      <c r="AC32" s="99">
        <v>53.22</v>
      </c>
      <c r="AD32" s="2">
        <f t="shared" si="0"/>
        <v>0.82999999999999829</v>
      </c>
      <c r="AE32" s="137">
        <f t="shared" si="1"/>
        <v>1.9149751053236352E-2</v>
      </c>
    </row>
    <row r="33" spans="1:31" x14ac:dyDescent="0.25">
      <c r="A33" s="388" t="s">
        <v>71</v>
      </c>
      <c r="B33" s="377"/>
      <c r="C33" s="378"/>
      <c r="D33" s="379"/>
      <c r="E33" s="379"/>
      <c r="F33" s="379"/>
      <c r="G33" s="377"/>
      <c r="H33" s="382"/>
      <c r="I33" s="378"/>
      <c r="J33" s="378"/>
      <c r="K33" s="399"/>
      <c r="L33" s="377"/>
      <c r="M33" s="378"/>
      <c r="W33" s="98">
        <v>42754</v>
      </c>
      <c r="X33" s="102">
        <v>53.14</v>
      </c>
      <c r="Y33" s="102">
        <v>53.15</v>
      </c>
      <c r="Z33" s="102">
        <v>52.41</v>
      </c>
      <c r="AA33" s="102">
        <v>52.68</v>
      </c>
      <c r="AB33" s="100">
        <v>1934700</v>
      </c>
      <c r="AC33" s="99">
        <v>52.22</v>
      </c>
      <c r="AD33" s="2">
        <f t="shared" si="0"/>
        <v>0.74000000000000199</v>
      </c>
      <c r="AE33" s="137">
        <f t="shared" si="1"/>
        <v>-6.6577896138482195E-3</v>
      </c>
    </row>
    <row r="34" spans="1:31" x14ac:dyDescent="0.25">
      <c r="A34" s="378"/>
      <c r="B34" s="377"/>
      <c r="C34" s="378"/>
      <c r="D34" s="379"/>
      <c r="E34" s="379"/>
      <c r="F34" s="379"/>
      <c r="G34" s="377"/>
      <c r="H34" s="382"/>
      <c r="I34" s="378"/>
      <c r="J34" s="379"/>
      <c r="K34" s="398"/>
      <c r="L34" s="378"/>
      <c r="M34" s="378"/>
      <c r="W34" s="98">
        <v>42753</v>
      </c>
      <c r="X34" s="102">
        <v>53.15</v>
      </c>
      <c r="Y34" s="102">
        <v>53.2</v>
      </c>
      <c r="Z34" s="102">
        <v>52.66</v>
      </c>
      <c r="AA34" s="102">
        <v>53.03</v>
      </c>
      <c r="AB34" s="100">
        <v>2223600</v>
      </c>
      <c r="AC34" s="99">
        <v>52.57</v>
      </c>
      <c r="AD34" s="2">
        <f t="shared" si="0"/>
        <v>0.54000000000000625</v>
      </c>
      <c r="AE34" s="137">
        <f t="shared" si="1"/>
        <v>7.6146963639822651E-4</v>
      </c>
    </row>
    <row r="35" spans="1:31" x14ac:dyDescent="0.25">
      <c r="A35" s="378"/>
      <c r="B35" s="377"/>
      <c r="C35" s="378"/>
      <c r="D35" s="379"/>
      <c r="E35" s="379"/>
      <c r="F35" s="379"/>
      <c r="G35" s="377"/>
      <c r="H35" s="382"/>
      <c r="I35" s="378"/>
      <c r="J35" s="379"/>
      <c r="K35" s="398"/>
      <c r="L35" s="378"/>
      <c r="M35" s="378"/>
      <c r="W35" s="98">
        <v>42752</v>
      </c>
      <c r="X35" s="102">
        <v>53.35</v>
      </c>
      <c r="Y35" s="102">
        <v>53.5</v>
      </c>
      <c r="Z35" s="102">
        <v>52.77</v>
      </c>
      <c r="AA35" s="102">
        <v>52.99</v>
      </c>
      <c r="AB35" s="100">
        <v>1799000</v>
      </c>
      <c r="AC35" s="99">
        <v>52.53</v>
      </c>
      <c r="AD35" s="2">
        <f t="shared" si="0"/>
        <v>0.72999999999999687</v>
      </c>
      <c r="AE35" s="137">
        <f t="shared" si="1"/>
        <v>-1.0361718161265965E-2</v>
      </c>
    </row>
    <row r="36" spans="1:31" x14ac:dyDescent="0.25">
      <c r="A36" s="378"/>
      <c r="B36" s="378"/>
      <c r="C36" s="378"/>
      <c r="D36" s="378"/>
      <c r="E36" s="378"/>
      <c r="F36" s="378"/>
      <c r="G36" s="378"/>
      <c r="H36" s="382"/>
      <c r="I36" s="378"/>
      <c r="J36" s="378"/>
      <c r="K36" s="378"/>
      <c r="L36" s="378"/>
      <c r="M36" s="378"/>
      <c r="W36" s="98">
        <v>42748</v>
      </c>
      <c r="X36" s="102">
        <v>53.68</v>
      </c>
      <c r="Y36" s="102">
        <v>54.08</v>
      </c>
      <c r="Z36" s="102">
        <v>53.44</v>
      </c>
      <c r="AA36" s="102">
        <v>53.55</v>
      </c>
      <c r="AB36" s="100">
        <v>1694500</v>
      </c>
      <c r="AC36" s="99">
        <v>53.08</v>
      </c>
      <c r="AD36" s="2">
        <f t="shared" si="0"/>
        <v>0.64000000000000057</v>
      </c>
      <c r="AE36" s="137">
        <f t="shared" si="1"/>
        <v>-2.2556390977443996E-3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42747</v>
      </c>
      <c r="X37" s="102">
        <v>53.84</v>
      </c>
      <c r="Y37" s="102">
        <v>54.08</v>
      </c>
      <c r="Z37" s="102">
        <v>53.04</v>
      </c>
      <c r="AA37" s="102">
        <v>53.67</v>
      </c>
      <c r="AB37" s="100">
        <v>1915800</v>
      </c>
      <c r="AC37" s="99">
        <v>53.2</v>
      </c>
      <c r="AD37" s="2">
        <f t="shared" si="0"/>
        <v>1.0399999999999991</v>
      </c>
      <c r="AE37" s="137">
        <f t="shared" si="1"/>
        <v>-8.7572200484441476E-3</v>
      </c>
    </row>
    <row r="38" spans="1:31" x14ac:dyDescent="0.25">
      <c r="A38" s="378"/>
      <c r="B38" s="378"/>
      <c r="C38" s="378"/>
      <c r="D38" s="378"/>
      <c r="E38" s="378"/>
      <c r="F38" s="378"/>
      <c r="G38" s="378"/>
      <c r="H38" s="382"/>
      <c r="I38" s="378"/>
      <c r="J38" s="378"/>
      <c r="K38" s="378"/>
      <c r="L38" s="378"/>
      <c r="M38" s="378"/>
      <c r="W38" s="98">
        <v>42746</v>
      </c>
      <c r="X38" s="102">
        <v>53.58</v>
      </c>
      <c r="Y38" s="102">
        <v>54.2</v>
      </c>
      <c r="Z38" s="102">
        <v>53.45</v>
      </c>
      <c r="AA38" s="102">
        <v>54.14</v>
      </c>
      <c r="AB38" s="100">
        <v>1966400</v>
      </c>
      <c r="AC38" s="99">
        <v>53.67</v>
      </c>
      <c r="AD38" s="2">
        <f t="shared" si="0"/>
        <v>0.75</v>
      </c>
      <c r="AE38" s="137">
        <f t="shared" si="1"/>
        <v>6.7529544175577438E-3</v>
      </c>
    </row>
    <row r="39" spans="1:31" x14ac:dyDescent="0.25">
      <c r="W39" s="98">
        <v>42745</v>
      </c>
      <c r="X39" s="102">
        <v>53.7</v>
      </c>
      <c r="Y39" s="102">
        <v>54.22</v>
      </c>
      <c r="Z39" s="102">
        <v>53.45</v>
      </c>
      <c r="AA39" s="102">
        <v>53.78</v>
      </c>
      <c r="AB39" s="100">
        <v>2748600</v>
      </c>
      <c r="AC39" s="99">
        <v>53.31</v>
      </c>
      <c r="AD39" s="2">
        <f t="shared" si="0"/>
        <v>0.76999999999999602</v>
      </c>
      <c r="AE39" s="137">
        <f t="shared" si="1"/>
        <v>3.0103480714958053E-3</v>
      </c>
    </row>
    <row r="40" spans="1:31" ht="20.25" thickBot="1" x14ac:dyDescent="0.35">
      <c r="O40" s="703" t="s">
        <v>78</v>
      </c>
      <c r="P40" s="703"/>
      <c r="W40" s="98">
        <v>42744</v>
      </c>
      <c r="X40" s="102">
        <v>53.7</v>
      </c>
      <c r="Y40" s="102">
        <v>54.17</v>
      </c>
      <c r="Z40" s="102">
        <v>53.42</v>
      </c>
      <c r="AA40" s="102">
        <v>53.62</v>
      </c>
      <c r="AB40" s="100">
        <v>2987000</v>
      </c>
      <c r="AC40" s="99">
        <v>53.15</v>
      </c>
      <c r="AD40" s="2">
        <f t="shared" si="0"/>
        <v>0.75</v>
      </c>
      <c r="AE40" s="137">
        <f t="shared" si="1"/>
        <v>-1.877934272300541E-3</v>
      </c>
    </row>
    <row r="41" spans="1:31" ht="15.75" thickTop="1" x14ac:dyDescent="0.25">
      <c r="O41" s="82">
        <v>1.1000000000000001</v>
      </c>
      <c r="P41" s="82">
        <f>O41*$Q$4</f>
        <v>55.77000000000001</v>
      </c>
      <c r="Q41" s="2"/>
      <c r="W41" s="98">
        <v>42741</v>
      </c>
      <c r="X41" s="102">
        <v>53.56</v>
      </c>
      <c r="Y41" s="102">
        <v>53.93</v>
      </c>
      <c r="Z41" s="102">
        <v>53.26</v>
      </c>
      <c r="AA41" s="102">
        <v>53.72</v>
      </c>
      <c r="AB41" s="100">
        <v>1253500</v>
      </c>
      <c r="AC41" s="99">
        <v>53.25</v>
      </c>
      <c r="AD41" s="2">
        <f t="shared" si="0"/>
        <v>0.67000000000000171</v>
      </c>
      <c r="AE41" s="137">
        <f t="shared" si="1"/>
        <v>2.0700037636431912E-3</v>
      </c>
    </row>
    <row r="42" spans="1:31" ht="20.25" thickBot="1" x14ac:dyDescent="0.35">
      <c r="O42" s="82">
        <v>1.0900000000000001</v>
      </c>
      <c r="P42" s="82">
        <f t="shared" ref="P42:P61" si="2">O42*$Q$4</f>
        <v>55.263000000000005</v>
      </c>
      <c r="Q42" s="2"/>
      <c r="T42" s="90" t="s">
        <v>113</v>
      </c>
      <c r="W42" s="98">
        <v>42740</v>
      </c>
      <c r="X42" s="102">
        <v>53.9</v>
      </c>
      <c r="Y42" s="102">
        <v>54.26</v>
      </c>
      <c r="Z42" s="102">
        <v>53.33</v>
      </c>
      <c r="AA42" s="102">
        <v>53.61</v>
      </c>
      <c r="AB42" s="100">
        <v>2081100</v>
      </c>
      <c r="AC42" s="99">
        <v>53.14</v>
      </c>
      <c r="AD42" s="2">
        <f t="shared" si="0"/>
        <v>0.92999999999999972</v>
      </c>
      <c r="AE42" s="137">
        <f t="shared" si="1"/>
        <v>-8.2120194102276445E-3</v>
      </c>
    </row>
    <row r="43" spans="1:31" ht="15.75" thickTop="1" x14ac:dyDescent="0.25">
      <c r="O43" s="82">
        <v>1.08</v>
      </c>
      <c r="P43" s="82">
        <f t="shared" si="2"/>
        <v>54.756000000000007</v>
      </c>
      <c r="Q43" s="2"/>
      <c r="T43" s="96" t="s">
        <v>98</v>
      </c>
      <c r="U43" s="97">
        <v>53.72</v>
      </c>
      <c r="W43" s="98">
        <v>42739</v>
      </c>
      <c r="X43" s="102">
        <v>53.64</v>
      </c>
      <c r="Y43" s="102">
        <v>54.17</v>
      </c>
      <c r="Z43" s="102">
        <v>53.5</v>
      </c>
      <c r="AA43" s="102">
        <v>54.05</v>
      </c>
      <c r="AB43" s="100">
        <v>2331000</v>
      </c>
      <c r="AC43" s="99">
        <v>53.58</v>
      </c>
      <c r="AD43" s="2">
        <f t="shared" si="0"/>
        <v>0.67000000000000171</v>
      </c>
      <c r="AE43" s="137">
        <f t="shared" si="1"/>
        <v>1.2471655328798015E-2</v>
      </c>
    </row>
    <row r="44" spans="1:31" x14ac:dyDescent="0.25">
      <c r="O44" s="82">
        <v>1.07</v>
      </c>
      <c r="P44" s="82">
        <f t="shared" si="2"/>
        <v>54.249000000000009</v>
      </c>
      <c r="Q44" s="2"/>
      <c r="T44" s="86" t="s">
        <v>99</v>
      </c>
      <c r="U44" s="87">
        <v>53.73</v>
      </c>
      <c r="W44" s="98">
        <v>42738</v>
      </c>
      <c r="X44" s="102">
        <v>53.11</v>
      </c>
      <c r="Y44" s="102">
        <v>53.85</v>
      </c>
      <c r="Z44" s="102">
        <v>52.96</v>
      </c>
      <c r="AA44" s="102">
        <v>53.39</v>
      </c>
      <c r="AB44" s="100">
        <v>1927000</v>
      </c>
      <c r="AC44" s="99">
        <v>52.92</v>
      </c>
      <c r="AD44" s="2">
        <f t="shared" si="0"/>
        <v>0.89000000000000057</v>
      </c>
      <c r="AE44" s="137">
        <f t="shared" si="1"/>
        <v>6.0836501901140316E-3</v>
      </c>
    </row>
    <row r="45" spans="1:31" x14ac:dyDescent="0.25">
      <c r="O45" s="82">
        <v>1.06</v>
      </c>
      <c r="P45" s="82">
        <f t="shared" si="2"/>
        <v>53.742000000000004</v>
      </c>
      <c r="Q45" s="2"/>
      <c r="T45" s="86" t="s">
        <v>100</v>
      </c>
      <c r="U45" s="87" t="s">
        <v>129</v>
      </c>
      <c r="W45" s="98">
        <v>42734</v>
      </c>
      <c r="X45" s="102">
        <v>53.44</v>
      </c>
      <c r="Y45" s="102">
        <v>53.5</v>
      </c>
      <c r="Z45" s="102">
        <v>52.67</v>
      </c>
      <c r="AA45" s="102">
        <v>53.06</v>
      </c>
      <c r="AB45" s="100">
        <v>2018100</v>
      </c>
      <c r="AC45" s="99">
        <v>52.6</v>
      </c>
      <c r="AD45" s="2">
        <f t="shared" si="0"/>
        <v>0.82999999999999829</v>
      </c>
      <c r="AE45" s="137">
        <f t="shared" si="1"/>
        <v>-5.671077504725841E-3</v>
      </c>
    </row>
    <row r="46" spans="1:31" x14ac:dyDescent="0.25">
      <c r="O46" s="82">
        <v>1.05</v>
      </c>
      <c r="P46" s="82">
        <f t="shared" si="2"/>
        <v>53.235000000000007</v>
      </c>
      <c r="Q46" s="2"/>
      <c r="T46" s="86" t="s">
        <v>101</v>
      </c>
      <c r="U46" s="87" t="s">
        <v>129</v>
      </c>
      <c r="W46" s="98">
        <v>42733</v>
      </c>
      <c r="X46" s="102">
        <v>53.29</v>
      </c>
      <c r="Y46" s="102">
        <v>53.65</v>
      </c>
      <c r="Z46" s="102">
        <v>53.12</v>
      </c>
      <c r="AA46" s="102">
        <v>53.37</v>
      </c>
      <c r="AB46" s="100">
        <v>1380600</v>
      </c>
      <c r="AC46" s="99">
        <v>52.9</v>
      </c>
      <c r="AD46" s="2">
        <f t="shared" si="0"/>
        <v>0.53000000000000114</v>
      </c>
      <c r="AE46" s="137">
        <f t="shared" si="1"/>
        <v>-1.8900018900014359E-4</v>
      </c>
    </row>
    <row r="47" spans="1:31" x14ac:dyDescent="0.25">
      <c r="O47" s="82">
        <v>1.04</v>
      </c>
      <c r="P47" s="82">
        <f t="shared" si="2"/>
        <v>52.728000000000002</v>
      </c>
      <c r="Q47" s="2"/>
      <c r="T47" s="86" t="s">
        <v>102</v>
      </c>
      <c r="U47" s="87">
        <v>55.36</v>
      </c>
      <c r="W47" s="98">
        <v>42732</v>
      </c>
      <c r="X47" s="102">
        <v>54.6</v>
      </c>
      <c r="Y47" s="102">
        <v>54.68</v>
      </c>
      <c r="Z47" s="102">
        <v>53.21</v>
      </c>
      <c r="AA47" s="102">
        <v>53.38</v>
      </c>
      <c r="AB47" s="100">
        <v>2901100</v>
      </c>
      <c r="AC47" s="99">
        <v>52.91</v>
      </c>
      <c r="AD47" s="2">
        <f t="shared" si="0"/>
        <v>1.4699999999999989</v>
      </c>
      <c r="AE47" s="137">
        <f t="shared" si="1"/>
        <v>-1.6542750929368077E-2</v>
      </c>
    </row>
    <row r="48" spans="1:31" x14ac:dyDescent="0.25">
      <c r="O48" s="82">
        <v>1.03</v>
      </c>
      <c r="P48" s="82">
        <f t="shared" si="2"/>
        <v>52.221000000000004</v>
      </c>
      <c r="Q48" s="2"/>
      <c r="T48" s="86" t="s">
        <v>103</v>
      </c>
      <c r="U48" s="87">
        <v>1.7318800000000001</v>
      </c>
      <c r="W48" s="98">
        <v>42731</v>
      </c>
      <c r="X48" s="102">
        <v>54.25</v>
      </c>
      <c r="Y48" s="102">
        <v>54.45</v>
      </c>
      <c r="Z48" s="102">
        <v>54.18</v>
      </c>
      <c r="AA48" s="102">
        <v>54.28</v>
      </c>
      <c r="AB48" s="100">
        <v>1535400</v>
      </c>
      <c r="AC48" s="99">
        <v>53.8</v>
      </c>
      <c r="AD48" s="2">
        <f t="shared" si="0"/>
        <v>0.27000000000000313</v>
      </c>
      <c r="AE48" s="137">
        <f t="shared" si="1"/>
        <v>4.4809559372664953E-3</v>
      </c>
    </row>
    <row r="49" spans="15:31" x14ac:dyDescent="0.25">
      <c r="O49" s="82">
        <v>1.02</v>
      </c>
      <c r="P49" s="82">
        <f t="shared" si="2"/>
        <v>51.714000000000006</v>
      </c>
      <c r="Q49" s="2"/>
      <c r="T49" s="86" t="s">
        <v>104</v>
      </c>
      <c r="U49" s="88" t="s">
        <v>443</v>
      </c>
      <c r="W49" s="98">
        <v>42727</v>
      </c>
      <c r="X49" s="102">
        <v>53.74</v>
      </c>
      <c r="Y49" s="102">
        <v>54.06</v>
      </c>
      <c r="Z49" s="102">
        <v>53.65</v>
      </c>
      <c r="AA49" s="102">
        <v>54.03</v>
      </c>
      <c r="AB49" s="100">
        <v>1211900</v>
      </c>
      <c r="AC49" s="99">
        <v>53.56</v>
      </c>
      <c r="AD49" s="2">
        <f t="shared" si="0"/>
        <v>0.41000000000000369</v>
      </c>
      <c r="AE49" s="137">
        <f t="shared" si="1"/>
        <v>4.5011252813202951E-3</v>
      </c>
    </row>
    <row r="50" spans="15:31" x14ac:dyDescent="0.25">
      <c r="O50" s="82">
        <v>1.01</v>
      </c>
      <c r="P50" s="82">
        <f t="shared" si="2"/>
        <v>51.207000000000001</v>
      </c>
      <c r="Q50" s="2"/>
      <c r="T50" s="86"/>
      <c r="U50" s="87"/>
      <c r="W50" s="98">
        <v>42726</v>
      </c>
      <c r="X50" s="102">
        <v>53.95</v>
      </c>
      <c r="Y50" s="102">
        <v>54.09</v>
      </c>
      <c r="Z50" s="102">
        <v>53.42</v>
      </c>
      <c r="AA50" s="102">
        <v>53.79</v>
      </c>
      <c r="AB50" s="100">
        <v>2422600</v>
      </c>
      <c r="AC50" s="99">
        <v>53.32</v>
      </c>
      <c r="AD50" s="2">
        <f t="shared" si="0"/>
        <v>0.67000000000000171</v>
      </c>
      <c r="AE50" s="137">
        <f t="shared" si="1"/>
        <v>-2.9917726252803867E-3</v>
      </c>
    </row>
    <row r="51" spans="15:31" x14ac:dyDescent="0.25">
      <c r="O51" s="82">
        <v>1</v>
      </c>
      <c r="P51" s="82">
        <f t="shared" si="2"/>
        <v>50.7</v>
      </c>
      <c r="Q51" s="2"/>
      <c r="T51" s="86" t="s">
        <v>105</v>
      </c>
      <c r="U51" s="87" t="s">
        <v>653</v>
      </c>
      <c r="W51" s="98">
        <v>42725</v>
      </c>
      <c r="X51" s="102">
        <v>54</v>
      </c>
      <c r="Y51" s="102">
        <v>54.31</v>
      </c>
      <c r="Z51" s="102">
        <v>53.81</v>
      </c>
      <c r="AA51" s="102">
        <v>53.95</v>
      </c>
      <c r="AB51" s="100">
        <v>1991200</v>
      </c>
      <c r="AC51" s="99">
        <v>53.48</v>
      </c>
      <c r="AD51" s="2">
        <f t="shared" si="0"/>
        <v>0.5</v>
      </c>
      <c r="AE51" s="137">
        <f t="shared" si="1"/>
        <v>-7.4738415545605452E-4</v>
      </c>
    </row>
    <row r="52" spans="15:31" x14ac:dyDescent="0.25">
      <c r="O52" s="82">
        <v>0.99</v>
      </c>
      <c r="P52" s="82">
        <f t="shared" si="2"/>
        <v>50.193000000000005</v>
      </c>
      <c r="Q52" s="2"/>
      <c r="T52" s="86" t="s">
        <v>106</v>
      </c>
      <c r="U52" s="87" t="s">
        <v>654</v>
      </c>
      <c r="W52" s="98">
        <v>42724</v>
      </c>
      <c r="X52" s="102">
        <v>53.75</v>
      </c>
      <c r="Y52" s="102">
        <v>54.15</v>
      </c>
      <c r="Z52" s="102">
        <v>53.68</v>
      </c>
      <c r="AA52" s="102">
        <v>53.99</v>
      </c>
      <c r="AB52" s="100">
        <v>1846700</v>
      </c>
      <c r="AC52" s="99">
        <v>53.52</v>
      </c>
      <c r="AD52" s="2">
        <f t="shared" si="0"/>
        <v>0.46999999999999886</v>
      </c>
      <c r="AE52" s="137">
        <f t="shared" si="1"/>
        <v>5.825972561548598E-3</v>
      </c>
    </row>
    <row r="53" spans="15:31" x14ac:dyDescent="0.25">
      <c r="O53" s="82">
        <v>0.98</v>
      </c>
      <c r="P53" s="82">
        <f t="shared" si="2"/>
        <v>49.686</v>
      </c>
      <c r="Q53" s="2"/>
      <c r="T53" s="86" t="s">
        <v>107</v>
      </c>
      <c r="U53" s="89">
        <v>2943537</v>
      </c>
      <c r="W53" s="98">
        <v>42723</v>
      </c>
      <c r="X53" s="102">
        <v>53.51</v>
      </c>
      <c r="Y53" s="102">
        <v>53.79</v>
      </c>
      <c r="Z53" s="102">
        <v>53.41</v>
      </c>
      <c r="AA53" s="102">
        <v>53.68</v>
      </c>
      <c r="AB53" s="100">
        <v>2787700</v>
      </c>
      <c r="AC53" s="99">
        <v>53.21</v>
      </c>
      <c r="AD53" s="2">
        <f t="shared" si="0"/>
        <v>0.38000000000000256</v>
      </c>
      <c r="AE53" s="137">
        <f t="shared" si="1"/>
        <v>-1.3138138138137911E-3</v>
      </c>
    </row>
    <row r="54" spans="15:31" x14ac:dyDescent="0.25">
      <c r="O54" s="82">
        <v>0.97</v>
      </c>
      <c r="P54" s="82">
        <f t="shared" si="2"/>
        <v>49.179000000000002</v>
      </c>
      <c r="T54" s="86" t="s">
        <v>110</v>
      </c>
      <c r="U54" s="89">
        <v>3111450</v>
      </c>
      <c r="W54" s="98">
        <v>42720</v>
      </c>
      <c r="X54" s="102">
        <v>53.64</v>
      </c>
      <c r="Y54" s="102">
        <v>54.11</v>
      </c>
      <c r="Z54" s="102">
        <v>53.51</v>
      </c>
      <c r="AA54" s="102">
        <v>53.75</v>
      </c>
      <c r="AB54" s="100">
        <v>4456000</v>
      </c>
      <c r="AC54" s="99">
        <v>53.28</v>
      </c>
      <c r="AD54" s="2">
        <f t="shared" si="0"/>
        <v>0.60000000000000142</v>
      </c>
      <c r="AE54" s="137">
        <f t="shared" si="1"/>
        <v>2.8232636928289256E-3</v>
      </c>
    </row>
    <row r="55" spans="15:31" x14ac:dyDescent="0.25">
      <c r="O55" s="82">
        <v>0.96</v>
      </c>
      <c r="P55" s="82">
        <f t="shared" si="2"/>
        <v>48.672000000000004</v>
      </c>
      <c r="T55" s="86" t="s">
        <v>108</v>
      </c>
      <c r="U55" s="87" t="s">
        <v>655</v>
      </c>
      <c r="W55" s="98">
        <v>42719</v>
      </c>
      <c r="X55" s="102">
        <v>53.09</v>
      </c>
      <c r="Y55" s="102">
        <v>53.98</v>
      </c>
      <c r="Z55" s="102">
        <v>52.94</v>
      </c>
      <c r="AA55" s="102">
        <v>53.6</v>
      </c>
      <c r="AB55" s="100">
        <v>3096100</v>
      </c>
      <c r="AC55" s="99">
        <v>53.13</v>
      </c>
      <c r="AD55" s="2">
        <f t="shared" si="0"/>
        <v>1.0399999999999991</v>
      </c>
      <c r="AE55" s="137">
        <f t="shared" si="1"/>
        <v>1.2771635531833914E-2</v>
      </c>
    </row>
    <row r="56" spans="15:31" x14ac:dyDescent="0.25">
      <c r="O56" s="82">
        <v>0.95</v>
      </c>
      <c r="P56" s="82">
        <f t="shared" si="2"/>
        <v>48.164999999999999</v>
      </c>
      <c r="T56" s="86" t="s">
        <v>111</v>
      </c>
      <c r="U56" s="87">
        <v>24.79</v>
      </c>
      <c r="W56" s="98">
        <v>42718</v>
      </c>
      <c r="X56" s="102">
        <v>53.38</v>
      </c>
      <c r="Y56" s="102">
        <v>53.75</v>
      </c>
      <c r="Z56" s="102">
        <v>52.82</v>
      </c>
      <c r="AA56" s="102">
        <v>52.92</v>
      </c>
      <c r="AB56" s="100">
        <v>3218300</v>
      </c>
      <c r="AC56" s="99">
        <v>52.46</v>
      </c>
      <c r="AD56" s="2">
        <f t="shared" si="0"/>
        <v>0.92999999999999972</v>
      </c>
      <c r="AE56" s="137">
        <f t="shared" si="1"/>
        <v>-6.815600151457768E-3</v>
      </c>
    </row>
    <row r="57" spans="15:31" x14ac:dyDescent="0.25">
      <c r="O57" s="82">
        <v>0.94</v>
      </c>
      <c r="P57" s="82">
        <f t="shared" si="2"/>
        <v>47.658000000000001</v>
      </c>
      <c r="T57" s="86" t="s">
        <v>112</v>
      </c>
      <c r="U57" s="87">
        <v>2.1800000000000002</v>
      </c>
      <c r="W57" s="98">
        <v>42717</v>
      </c>
      <c r="X57" s="102">
        <v>53.49</v>
      </c>
      <c r="Y57" s="102">
        <v>53.83</v>
      </c>
      <c r="Z57" s="102">
        <v>52.83</v>
      </c>
      <c r="AA57" s="102">
        <v>53.29</v>
      </c>
      <c r="AB57" s="100">
        <v>2826400</v>
      </c>
      <c r="AC57" s="99">
        <v>52.82</v>
      </c>
      <c r="AD57" s="2">
        <f t="shared" si="0"/>
        <v>1</v>
      </c>
      <c r="AE57" s="137">
        <f t="shared" si="1"/>
        <v>-5.8347449651797723E-3</v>
      </c>
    </row>
    <row r="58" spans="15:31" x14ac:dyDescent="0.25">
      <c r="O58" s="82">
        <v>0.93</v>
      </c>
      <c r="P58" s="82">
        <f t="shared" si="2"/>
        <v>47.151000000000003</v>
      </c>
      <c r="T58" s="86" t="s">
        <v>109</v>
      </c>
      <c r="U58" s="87" t="s">
        <v>656</v>
      </c>
      <c r="W58" s="98">
        <v>42716</v>
      </c>
      <c r="X58" s="102">
        <v>53.9</v>
      </c>
      <c r="Y58" s="102">
        <v>54.34</v>
      </c>
      <c r="Z58" s="102">
        <v>53.55</v>
      </c>
      <c r="AA58" s="102">
        <v>53.6</v>
      </c>
      <c r="AB58" s="100">
        <v>2611800</v>
      </c>
      <c r="AC58" s="99">
        <v>53.13</v>
      </c>
      <c r="AD58" s="2">
        <f t="shared" si="0"/>
        <v>0.79000000000000625</v>
      </c>
      <c r="AE58" s="137">
        <f t="shared" si="1"/>
        <v>-4.3103448275861878E-3</v>
      </c>
    </row>
    <row r="59" spans="15:31" x14ac:dyDescent="0.25">
      <c r="O59" s="82">
        <v>0.92</v>
      </c>
      <c r="P59" s="82">
        <f t="shared" si="2"/>
        <v>46.644000000000005</v>
      </c>
      <c r="W59" s="98">
        <v>42713</v>
      </c>
      <c r="X59" s="102">
        <v>53.54</v>
      </c>
      <c r="Y59" s="102">
        <v>54.12</v>
      </c>
      <c r="Z59" s="102">
        <v>53.39</v>
      </c>
      <c r="AA59" s="102">
        <v>53.83</v>
      </c>
      <c r="AB59" s="100">
        <v>2826600</v>
      </c>
      <c r="AC59" s="99">
        <v>53.36</v>
      </c>
      <c r="AD59" s="2">
        <f t="shared" si="0"/>
        <v>0.72999999999999687</v>
      </c>
      <c r="AE59" s="137">
        <f t="shared" si="1"/>
        <v>3.1960894905058712E-3</v>
      </c>
    </row>
    <row r="60" spans="15:31" x14ac:dyDescent="0.25">
      <c r="O60" s="82">
        <v>0.91</v>
      </c>
      <c r="P60" s="82">
        <f t="shared" si="2"/>
        <v>46.137000000000008</v>
      </c>
      <c r="W60" s="98">
        <v>42712</v>
      </c>
      <c r="X60" s="102">
        <v>53.45</v>
      </c>
      <c r="Y60" s="102">
        <v>54.07</v>
      </c>
      <c r="Z60" s="102">
        <v>53.11</v>
      </c>
      <c r="AA60" s="102">
        <v>53.66</v>
      </c>
      <c r="AB60" s="100">
        <v>2482600</v>
      </c>
      <c r="AC60" s="99">
        <v>53.19</v>
      </c>
      <c r="AD60" s="2">
        <f t="shared" si="0"/>
        <v>0.96000000000000085</v>
      </c>
      <c r="AE60" s="137">
        <f t="shared" si="1"/>
        <v>6.8143100511073307E-3</v>
      </c>
    </row>
    <row r="61" spans="15:31" x14ac:dyDescent="0.25">
      <c r="O61" s="82">
        <v>0.9</v>
      </c>
      <c r="P61" s="82">
        <f t="shared" si="2"/>
        <v>45.63</v>
      </c>
      <c r="W61" s="98">
        <v>42711</v>
      </c>
      <c r="X61" s="102">
        <v>51.87</v>
      </c>
      <c r="Y61" s="102">
        <v>53.34</v>
      </c>
      <c r="Z61" s="102">
        <v>51.87</v>
      </c>
      <c r="AA61" s="102">
        <v>53.3</v>
      </c>
      <c r="AB61" s="100">
        <v>3504700</v>
      </c>
      <c r="AC61" s="99">
        <v>52.83</v>
      </c>
      <c r="AD61" s="2">
        <f t="shared" si="0"/>
        <v>1.470000000000006</v>
      </c>
      <c r="AE61" s="137">
        <f t="shared" si="1"/>
        <v>2.9423226812159031E-2</v>
      </c>
    </row>
    <row r="62" spans="15:31" x14ac:dyDescent="0.25">
      <c r="W62" s="98">
        <v>42710</v>
      </c>
      <c r="X62" s="102">
        <v>51.25</v>
      </c>
      <c r="Y62" s="102">
        <v>51.8</v>
      </c>
      <c r="Z62" s="102">
        <v>51</v>
      </c>
      <c r="AA62" s="102">
        <v>51.77</v>
      </c>
      <c r="AB62" s="100">
        <v>2463300</v>
      </c>
      <c r="AC62" s="99">
        <v>51.32</v>
      </c>
      <c r="AD62" s="2">
        <f t="shared" si="0"/>
        <v>0.79999999999999716</v>
      </c>
      <c r="AE62" s="137">
        <f t="shared" si="1"/>
        <v>7.0643642072212298E-3</v>
      </c>
    </row>
    <row r="63" spans="15:31" x14ac:dyDescent="0.25">
      <c r="W63" s="98">
        <v>42709</v>
      </c>
      <c r="X63" s="102">
        <v>50.96</v>
      </c>
      <c r="Y63" s="102">
        <v>51.46</v>
      </c>
      <c r="Z63" s="102">
        <v>50.75</v>
      </c>
      <c r="AA63" s="102">
        <v>51.41</v>
      </c>
      <c r="AB63" s="100">
        <v>3838300</v>
      </c>
      <c r="AC63" s="99">
        <v>50.96</v>
      </c>
      <c r="AD63" s="2">
        <f t="shared" si="0"/>
        <v>0.71000000000000085</v>
      </c>
      <c r="AE63" s="137">
        <f t="shared" si="1"/>
        <v>1.8792483006797145E-2</v>
      </c>
    </row>
    <row r="64" spans="15:31" x14ac:dyDescent="0.25">
      <c r="W64" s="98">
        <v>42706</v>
      </c>
      <c r="X64" s="102">
        <v>49.74</v>
      </c>
      <c r="Y64" s="102">
        <v>50.47</v>
      </c>
      <c r="Z64" s="102">
        <v>49.37</v>
      </c>
      <c r="AA64" s="102">
        <v>50.46</v>
      </c>
      <c r="AB64" s="100">
        <v>3453200</v>
      </c>
      <c r="AC64" s="99">
        <v>50.02</v>
      </c>
      <c r="AD64" s="2">
        <f t="shared" si="0"/>
        <v>1.1000000000000014</v>
      </c>
      <c r="AE64" s="137">
        <f t="shared" si="1"/>
        <v>1.4810306350172553E-2</v>
      </c>
    </row>
    <row r="65" spans="23:31" x14ac:dyDescent="0.25">
      <c r="W65" s="98">
        <v>42705</v>
      </c>
      <c r="X65" s="102">
        <v>48.94</v>
      </c>
      <c r="Y65" s="102">
        <v>49.75</v>
      </c>
      <c r="Z65" s="102">
        <v>48.9</v>
      </c>
      <c r="AA65" s="102">
        <v>49.73</v>
      </c>
      <c r="AB65" s="100">
        <v>3518600</v>
      </c>
      <c r="AC65" s="99">
        <v>49.29</v>
      </c>
      <c r="AD65" s="2">
        <f t="shared" si="0"/>
        <v>0.85000000000000142</v>
      </c>
      <c r="AE65" s="137">
        <f t="shared" si="1"/>
        <v>2.070822116380211E-2</v>
      </c>
    </row>
    <row r="66" spans="23:31" x14ac:dyDescent="0.25">
      <c r="W66" s="98">
        <v>42704</v>
      </c>
      <c r="X66" s="102">
        <v>48.96</v>
      </c>
      <c r="Y66" s="102">
        <v>48.96</v>
      </c>
      <c r="Z66" s="102">
        <v>48.49</v>
      </c>
      <c r="AA66" s="102">
        <v>48.72</v>
      </c>
      <c r="AB66" s="100">
        <v>2552300</v>
      </c>
      <c r="AC66" s="99">
        <v>48.29</v>
      </c>
      <c r="AD66" s="2">
        <f t="shared" si="0"/>
        <v>0.46999999999999886</v>
      </c>
      <c r="AE66" s="137">
        <f t="shared" si="1"/>
        <v>-2.4788266887005861E-3</v>
      </c>
    </row>
    <row r="67" spans="23:31" x14ac:dyDescent="0.25">
      <c r="W67" s="98">
        <v>42703</v>
      </c>
      <c r="X67" s="102">
        <v>48.73</v>
      </c>
      <c r="Y67" s="102">
        <v>49.1</v>
      </c>
      <c r="Z67" s="102">
        <v>48.63</v>
      </c>
      <c r="AA67" s="102">
        <v>48.84</v>
      </c>
      <c r="AB67" s="100">
        <v>2110800</v>
      </c>
      <c r="AC67" s="99">
        <v>48.41</v>
      </c>
      <c r="AD67" s="2">
        <f>Y67-Z67</f>
        <v>0.46999999999999886</v>
      </c>
      <c r="AE67" s="137" t="e">
        <f>AC67/#REF!-1</f>
        <v>#REF!</v>
      </c>
    </row>
    <row r="68" spans="23:31" x14ac:dyDescent="0.25">
      <c r="W68" s="98">
        <v>42702</v>
      </c>
      <c r="X68" s="102">
        <v>48.66</v>
      </c>
      <c r="Y68" s="102">
        <v>48.94</v>
      </c>
      <c r="Z68" s="102">
        <v>48.51</v>
      </c>
      <c r="AA68" s="102">
        <v>48.69</v>
      </c>
      <c r="AB68" s="100">
        <v>1887800</v>
      </c>
      <c r="AC68" s="99">
        <v>48.26</v>
      </c>
      <c r="AD68" s="2" t="e">
        <f>#REF!-#REF!</f>
        <v>#REF!</v>
      </c>
      <c r="AE68" s="137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7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83" priority="11">
      <formula>F27&gt;0</formula>
    </cfRule>
    <cfRule type="expression" dxfId="582" priority="12">
      <formula>F27&lt;0</formula>
    </cfRule>
  </conditionalFormatting>
  <conditionalFormatting sqref="H27:H29">
    <cfRule type="expression" dxfId="581" priority="9">
      <formula>H27&gt;0</formula>
    </cfRule>
    <cfRule type="expression" dxfId="580" priority="10">
      <formula>H27&lt;0</formula>
    </cfRule>
  </conditionalFormatting>
  <conditionalFormatting sqref="F23:F26">
    <cfRule type="expression" dxfId="579" priority="7">
      <formula>F23&gt;0</formula>
    </cfRule>
    <cfRule type="expression" dxfId="578" priority="8">
      <formula>F23&lt;0</formula>
    </cfRule>
  </conditionalFormatting>
  <conditionalFormatting sqref="H23:H26">
    <cfRule type="expression" dxfId="577" priority="5">
      <formula>H23&gt;0</formula>
    </cfRule>
    <cfRule type="expression" dxfId="576" priority="6">
      <formula>H23&lt;0</formula>
    </cfRule>
  </conditionalFormatting>
  <conditionalFormatting sqref="Q8">
    <cfRule type="expression" dxfId="575" priority="1">
      <formula>Q8&gt;0</formula>
    </cfRule>
    <cfRule type="expression" dxfId="574" priority="2">
      <formula>Q8&lt;0</formula>
    </cfRule>
  </conditionalFormatting>
  <conditionalFormatting sqref="Q7">
    <cfRule type="expression" dxfId="573" priority="3">
      <formula>Q7&gt;0</formula>
    </cfRule>
    <cfRule type="expression" dxfId="57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42797</v>
      </c>
      <c r="X2" s="102">
        <v>35.94</v>
      </c>
      <c r="Y2" s="102">
        <v>36.090000000000003</v>
      </c>
      <c r="Z2" s="102">
        <v>35.67</v>
      </c>
      <c r="AA2" s="102">
        <v>35.9</v>
      </c>
      <c r="AB2" s="100">
        <v>17538100</v>
      </c>
      <c r="AC2" s="99">
        <v>35.9</v>
      </c>
      <c r="AD2" s="2">
        <f>Y2-Z2</f>
        <v>0.42000000000000171</v>
      </c>
      <c r="AE2" s="137">
        <f>AC2/AC3-1</f>
        <v>-2.7847396268443347E-4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3"/>
      <c r="O3" s="11" t="s">
        <v>58</v>
      </c>
      <c r="Q3" s="2">
        <f>IF(Q2=0, Q4, (F18-K18-M18)/Q2)</f>
        <v>35.909999999999997</v>
      </c>
      <c r="S3" s="114"/>
      <c r="T3" s="17"/>
      <c r="U3" s="17"/>
      <c r="V3" s="17"/>
      <c r="W3" s="98">
        <v>42796</v>
      </c>
      <c r="X3" s="102">
        <v>35.93</v>
      </c>
      <c r="Y3" s="102">
        <v>36.020000000000003</v>
      </c>
      <c r="Z3" s="102">
        <v>35.65</v>
      </c>
      <c r="AA3" s="102">
        <v>35.909999999999997</v>
      </c>
      <c r="AB3" s="100">
        <v>23591200</v>
      </c>
      <c r="AC3" s="99">
        <v>35.909999999999997</v>
      </c>
      <c r="AD3" s="2">
        <f t="shared" ref="AD3:AD66" si="0">Y3-Z3</f>
        <v>0.37000000000000455</v>
      </c>
      <c r="AE3" s="137">
        <f t="shared" ref="AE3:AE66" si="1">AC3/AC4-1</f>
        <v>-5.5663790704152394E-4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35.909999999999997</v>
      </c>
      <c r="R4" s="517">
        <v>2.5000000000000001E-3</v>
      </c>
      <c r="W4" s="98">
        <v>42795</v>
      </c>
      <c r="X4" s="102">
        <v>35.85</v>
      </c>
      <c r="Y4" s="102">
        <v>36.1</v>
      </c>
      <c r="Z4" s="102">
        <v>35.44</v>
      </c>
      <c r="AA4" s="102">
        <v>35.93</v>
      </c>
      <c r="AB4" s="100">
        <v>33969900</v>
      </c>
      <c r="AC4" s="99">
        <v>35.93</v>
      </c>
      <c r="AD4" s="2">
        <f t="shared" si="0"/>
        <v>0.66000000000000369</v>
      </c>
      <c r="AE4" s="137">
        <f t="shared" si="1"/>
        <v>-7.4585635359116775E-3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42794</v>
      </c>
      <c r="X5" s="102">
        <v>36.42</v>
      </c>
      <c r="Y5" s="102">
        <v>36.46</v>
      </c>
      <c r="Z5" s="102">
        <v>36</v>
      </c>
      <c r="AA5" s="102">
        <v>36.200000000000003</v>
      </c>
      <c r="AB5" s="100">
        <v>24793100</v>
      </c>
      <c r="AC5" s="99">
        <v>36.200000000000003</v>
      </c>
      <c r="AD5" s="2">
        <f t="shared" si="0"/>
        <v>0.46000000000000085</v>
      </c>
      <c r="AE5" s="137">
        <f t="shared" si="1"/>
        <v>-8.4908244316623804E-3</v>
      </c>
    </row>
    <row r="6" spans="1:31" x14ac:dyDescent="0.25">
      <c r="B6" s="73"/>
      <c r="C6" s="4"/>
      <c r="D6" s="3"/>
      <c r="E6" s="3"/>
      <c r="F6" s="3"/>
      <c r="G6" s="73"/>
      <c r="H6" s="184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42793</v>
      </c>
      <c r="X6" s="102">
        <v>36.42</v>
      </c>
      <c r="Y6" s="102">
        <v>36.68</v>
      </c>
      <c r="Z6" s="102">
        <v>36.270000000000003</v>
      </c>
      <c r="AA6" s="102">
        <v>36.51</v>
      </c>
      <c r="AB6" s="100">
        <v>14063400</v>
      </c>
      <c r="AC6" s="99">
        <v>36.51</v>
      </c>
      <c r="AD6" s="2">
        <f t="shared" si="0"/>
        <v>0.40999999999999659</v>
      </c>
      <c r="AE6" s="137">
        <f t="shared" si="1"/>
        <v>-5.474952094169927E-4</v>
      </c>
    </row>
    <row r="7" spans="1:31" x14ac:dyDescent="0.25">
      <c r="B7" s="73"/>
      <c r="C7" s="4"/>
      <c r="D7" s="3"/>
      <c r="E7" s="3"/>
      <c r="F7" s="3"/>
      <c r="G7" s="73"/>
      <c r="H7" s="184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42790</v>
      </c>
      <c r="X7" s="102">
        <v>36.14</v>
      </c>
      <c r="Y7" s="102">
        <v>36.53</v>
      </c>
      <c r="Z7" s="102">
        <v>35.950000000000003</v>
      </c>
      <c r="AA7" s="102">
        <v>36.53</v>
      </c>
      <c r="AB7" s="100">
        <v>18515100</v>
      </c>
      <c r="AC7" s="99">
        <v>36.53</v>
      </c>
      <c r="AD7" s="2">
        <f t="shared" si="0"/>
        <v>0.57999999999999829</v>
      </c>
      <c r="AE7" s="137">
        <f t="shared" si="1"/>
        <v>9.6738529574351695E-3</v>
      </c>
    </row>
    <row r="8" spans="1:31" x14ac:dyDescent="0.25">
      <c r="B8" s="73"/>
      <c r="C8" s="4"/>
      <c r="D8" s="3"/>
      <c r="E8" s="3"/>
      <c r="F8" s="3"/>
      <c r="G8" s="73"/>
      <c r="H8" s="184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42789</v>
      </c>
      <c r="X8" s="102">
        <v>36.24</v>
      </c>
      <c r="Y8" s="102">
        <v>36.299999999999997</v>
      </c>
      <c r="Z8" s="102">
        <v>35.9</v>
      </c>
      <c r="AA8" s="102">
        <v>36.18</v>
      </c>
      <c r="AB8" s="100">
        <v>22509000</v>
      </c>
      <c r="AC8" s="99">
        <v>36.18</v>
      </c>
      <c r="AD8" s="2">
        <f t="shared" si="0"/>
        <v>0.39999999999999858</v>
      </c>
      <c r="AE8" s="137">
        <f t="shared" si="1"/>
        <v>3.0496257277514704E-3</v>
      </c>
    </row>
    <row r="9" spans="1:31" x14ac:dyDescent="0.25">
      <c r="B9" s="73"/>
      <c r="C9" s="4"/>
      <c r="D9" s="3"/>
      <c r="E9" s="3"/>
      <c r="F9" s="3"/>
      <c r="G9" s="73"/>
      <c r="H9" s="184"/>
      <c r="I9" s="4"/>
      <c r="J9" s="4"/>
      <c r="K9" s="74"/>
      <c r="L9" s="4"/>
      <c r="M9" s="4"/>
      <c r="O9" s="11" t="s">
        <v>213</v>
      </c>
      <c r="Q9" s="137">
        <f>IF(Q2=0, 0, Q8/Q6)</f>
        <v>0</v>
      </c>
      <c r="W9" s="98">
        <v>42788</v>
      </c>
      <c r="X9" s="102">
        <v>36.340000000000003</v>
      </c>
      <c r="Y9" s="102">
        <v>36.4</v>
      </c>
      <c r="Z9" s="102">
        <v>35.79</v>
      </c>
      <c r="AA9" s="102">
        <v>36.07</v>
      </c>
      <c r="AB9" s="100">
        <v>29868400</v>
      </c>
      <c r="AC9" s="99">
        <v>36.07</v>
      </c>
      <c r="AD9" s="2">
        <f t="shared" si="0"/>
        <v>0.60999999999999943</v>
      </c>
      <c r="AE9" s="137">
        <f t="shared" si="1"/>
        <v>-1.232201533406363E-2</v>
      </c>
    </row>
    <row r="10" spans="1:31" x14ac:dyDescent="0.25">
      <c r="B10" s="73"/>
      <c r="C10" s="4"/>
      <c r="D10" s="3"/>
      <c r="E10" s="3"/>
      <c r="F10" s="3"/>
      <c r="G10" s="73"/>
      <c r="H10" s="184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42787</v>
      </c>
      <c r="X10" s="102">
        <v>36.53</v>
      </c>
      <c r="Y10" s="102">
        <v>36.65</v>
      </c>
      <c r="Z10" s="102">
        <v>36.33</v>
      </c>
      <c r="AA10" s="102">
        <v>36.520000000000003</v>
      </c>
      <c r="AB10" s="100">
        <v>20542400</v>
      </c>
      <c r="AC10" s="99">
        <v>36.520000000000003</v>
      </c>
      <c r="AD10" s="2">
        <f t="shared" si="0"/>
        <v>0.32000000000000028</v>
      </c>
      <c r="AE10" s="137">
        <f t="shared" si="1"/>
        <v>1.0964912280704286E-3</v>
      </c>
    </row>
    <row r="11" spans="1:31" x14ac:dyDescent="0.25">
      <c r="B11" s="73"/>
      <c r="C11" s="4"/>
      <c r="D11" s="3"/>
      <c r="E11" s="3"/>
      <c r="F11" s="3"/>
      <c r="G11" s="4"/>
      <c r="H11" s="184"/>
      <c r="I11" s="4"/>
      <c r="J11" s="4"/>
      <c r="K11" s="4"/>
      <c r="L11" s="4"/>
      <c r="M11" s="4"/>
      <c r="O11" s="11" t="s">
        <v>178</v>
      </c>
      <c r="P11" s="34"/>
      <c r="Q11" s="137">
        <f>VALUE(TRIM(CLEAN(MID(U58, FIND("(", U58)+1, 5))))</f>
        <v>2.9000000000000001E-2</v>
      </c>
      <c r="W11" s="98">
        <v>42783</v>
      </c>
      <c r="X11" s="102">
        <v>36.32</v>
      </c>
      <c r="Y11" s="102">
        <v>36.479999999999997</v>
      </c>
      <c r="Z11" s="102">
        <v>36.1</v>
      </c>
      <c r="AA11" s="102">
        <v>36.479999999999997</v>
      </c>
      <c r="AB11" s="100">
        <v>18712800</v>
      </c>
      <c r="AC11" s="99">
        <v>36.479999999999997</v>
      </c>
      <c r="AD11" s="2">
        <f t="shared" si="0"/>
        <v>0.37999999999999545</v>
      </c>
      <c r="AE11" s="137">
        <f t="shared" si="1"/>
        <v>1.9225487503433669E-3</v>
      </c>
    </row>
    <row r="12" spans="1:31" x14ac:dyDescent="0.25">
      <c r="B12" s="73"/>
      <c r="C12" s="4"/>
      <c r="D12" s="3"/>
      <c r="E12" s="3"/>
      <c r="F12" s="3"/>
      <c r="G12" s="4"/>
      <c r="H12" s="184"/>
      <c r="I12" s="4"/>
      <c r="J12" s="4"/>
      <c r="K12" s="4"/>
      <c r="L12" s="4"/>
      <c r="M12" s="4"/>
      <c r="W12" s="98">
        <v>42782</v>
      </c>
      <c r="X12" s="102">
        <v>36.18</v>
      </c>
      <c r="Y12" s="102">
        <v>36.56</v>
      </c>
      <c r="Z12" s="102">
        <v>36.1</v>
      </c>
      <c r="AA12" s="102">
        <v>36.409999999999997</v>
      </c>
      <c r="AB12" s="100">
        <v>21181700</v>
      </c>
      <c r="AC12" s="99">
        <v>36.409999999999997</v>
      </c>
      <c r="AD12" s="2">
        <f t="shared" si="0"/>
        <v>0.46000000000000085</v>
      </c>
      <c r="AE12" s="137">
        <f t="shared" si="1"/>
        <v>9.986130374479929E-3</v>
      </c>
    </row>
    <row r="13" spans="1:31" x14ac:dyDescent="0.25">
      <c r="B13" s="73"/>
      <c r="C13" s="4"/>
      <c r="D13" s="3"/>
      <c r="E13" s="3"/>
      <c r="F13" s="3"/>
      <c r="G13" s="4"/>
      <c r="H13" s="184"/>
      <c r="I13" s="4"/>
      <c r="J13" s="4"/>
      <c r="K13" s="4"/>
      <c r="L13" s="4"/>
      <c r="M13" s="4"/>
      <c r="W13" s="98">
        <v>42781</v>
      </c>
      <c r="X13" s="102">
        <v>35.979999999999997</v>
      </c>
      <c r="Y13" s="102">
        <v>36.06</v>
      </c>
      <c r="Z13" s="102">
        <v>35.67</v>
      </c>
      <c r="AA13" s="102">
        <v>36.049999999999997</v>
      </c>
      <c r="AB13" s="100">
        <v>18364200</v>
      </c>
      <c r="AC13" s="99">
        <v>36.049999999999997</v>
      </c>
      <c r="AD13" s="2">
        <f t="shared" si="0"/>
        <v>0.39000000000000057</v>
      </c>
      <c r="AE13" s="137">
        <f t="shared" si="1"/>
        <v>3.3398274422486995E-3</v>
      </c>
    </row>
    <row r="14" spans="1:31" x14ac:dyDescent="0.25">
      <c r="B14" s="73"/>
      <c r="C14" s="4"/>
      <c r="D14" s="4"/>
      <c r="E14" s="3"/>
      <c r="F14" s="3"/>
      <c r="G14" s="4"/>
      <c r="H14" s="184"/>
      <c r="I14" s="4"/>
      <c r="J14" s="4"/>
      <c r="K14" s="4"/>
      <c r="L14" s="4"/>
      <c r="M14" s="4"/>
      <c r="W14" s="98">
        <v>42780</v>
      </c>
      <c r="X14" s="102">
        <v>35.840000000000003</v>
      </c>
      <c r="Y14" s="102">
        <v>35.96</v>
      </c>
      <c r="Z14" s="102">
        <v>35.53</v>
      </c>
      <c r="AA14" s="102">
        <v>35.93</v>
      </c>
      <c r="AB14" s="100">
        <v>25725100</v>
      </c>
      <c r="AC14" s="99">
        <v>35.93</v>
      </c>
      <c r="AD14" s="2">
        <f t="shared" si="0"/>
        <v>0.42999999999999972</v>
      </c>
      <c r="AE14" s="137">
        <f t="shared" si="1"/>
        <v>3.6312849162012384E-3</v>
      </c>
    </row>
    <row r="15" spans="1:31" x14ac:dyDescent="0.25">
      <c r="B15" s="73"/>
      <c r="C15" s="4"/>
      <c r="D15" s="3"/>
      <c r="E15" s="3"/>
      <c r="F15" s="3"/>
      <c r="G15" s="4"/>
      <c r="H15" s="184"/>
      <c r="I15" s="4"/>
      <c r="J15" s="4"/>
      <c r="K15" s="4"/>
      <c r="L15" s="4"/>
      <c r="M15" s="4"/>
      <c r="W15" s="98">
        <v>42779</v>
      </c>
      <c r="X15" s="102">
        <v>35.57</v>
      </c>
      <c r="Y15" s="102">
        <v>35.85</v>
      </c>
      <c r="Z15" s="102">
        <v>35.340000000000003</v>
      </c>
      <c r="AA15" s="102">
        <v>35.799999999999997</v>
      </c>
      <c r="AB15" s="100">
        <v>28180600</v>
      </c>
      <c r="AC15" s="99">
        <v>35.799999999999997</v>
      </c>
      <c r="AD15" s="2">
        <f t="shared" si="0"/>
        <v>0.50999999999999801</v>
      </c>
      <c r="AE15" s="137">
        <f t="shared" si="1"/>
        <v>1.3016411997736066E-2</v>
      </c>
    </row>
    <row r="16" spans="1:31" x14ac:dyDescent="0.25">
      <c r="B16" s="4"/>
      <c r="C16" s="4"/>
      <c r="D16" s="4"/>
      <c r="E16" s="4"/>
      <c r="F16" s="4"/>
      <c r="G16" s="4"/>
      <c r="H16" s="184"/>
      <c r="I16" s="4"/>
      <c r="J16" s="4"/>
      <c r="K16" s="4"/>
      <c r="L16" s="4"/>
      <c r="M16" s="4"/>
      <c r="W16" s="98">
        <v>42776</v>
      </c>
      <c r="X16" s="102">
        <v>35.26</v>
      </c>
      <c r="Y16" s="102">
        <v>35.43</v>
      </c>
      <c r="Z16" s="102">
        <v>34.840000000000003</v>
      </c>
      <c r="AA16" s="102">
        <v>35.340000000000003</v>
      </c>
      <c r="AB16" s="100">
        <v>44106500</v>
      </c>
      <c r="AC16" s="99">
        <v>35.340000000000003</v>
      </c>
      <c r="AD16" s="2">
        <f t="shared" si="0"/>
        <v>0.58999999999999631</v>
      </c>
      <c r="AE16" s="137">
        <f t="shared" si="1"/>
        <v>-3.3840947546530664E-3</v>
      </c>
    </row>
    <row r="17" spans="1:31" x14ac:dyDescent="0.25">
      <c r="W17" s="98">
        <v>42775</v>
      </c>
      <c r="X17" s="102">
        <v>36.5</v>
      </c>
      <c r="Y17" s="102">
        <v>36.5</v>
      </c>
      <c r="Z17" s="102">
        <v>35.4</v>
      </c>
      <c r="AA17" s="102">
        <v>35.46</v>
      </c>
      <c r="AB17" s="100">
        <v>47802700</v>
      </c>
      <c r="AC17" s="99">
        <v>35.46</v>
      </c>
      <c r="AD17" s="2">
        <f t="shared" si="0"/>
        <v>1.1000000000000014</v>
      </c>
      <c r="AE17" s="137">
        <f t="shared" si="1"/>
        <v>-2.5288620120945571E-2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42774</v>
      </c>
      <c r="X18" s="102">
        <v>36.340000000000003</v>
      </c>
      <c r="Y18" s="102">
        <v>36.65</v>
      </c>
      <c r="Z18" s="102">
        <v>36.14</v>
      </c>
      <c r="AA18" s="102">
        <v>36.380000000000003</v>
      </c>
      <c r="AB18" s="100">
        <v>20807400</v>
      </c>
      <c r="AC18" s="99">
        <v>36.380000000000003</v>
      </c>
      <c r="AD18" s="2">
        <f t="shared" si="0"/>
        <v>0.50999999999999801</v>
      </c>
      <c r="AE18" s="137">
        <f t="shared" si="1"/>
        <v>8.2530949105907858E-4</v>
      </c>
    </row>
    <row r="19" spans="1:31" x14ac:dyDescent="0.25">
      <c r="W19" s="98">
        <v>42773</v>
      </c>
      <c r="X19" s="102">
        <v>36.450000000000003</v>
      </c>
      <c r="Y19" s="102">
        <v>36.520000000000003</v>
      </c>
      <c r="Z19" s="102">
        <v>36.24</v>
      </c>
      <c r="AA19" s="102">
        <v>36.35</v>
      </c>
      <c r="AB19" s="100">
        <v>18581900</v>
      </c>
      <c r="AC19" s="99">
        <v>36.35</v>
      </c>
      <c r="AD19" s="2">
        <f t="shared" si="0"/>
        <v>0.28000000000000114</v>
      </c>
      <c r="AE19" s="137">
        <f t="shared" si="1"/>
        <v>2.2056796250344846E-3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W20" s="98">
        <v>42772</v>
      </c>
      <c r="X20" s="102">
        <v>36.51</v>
      </c>
      <c r="Y20" s="102">
        <v>36.51</v>
      </c>
      <c r="Z20" s="102">
        <v>36.15</v>
      </c>
      <c r="AA20" s="102">
        <v>36.270000000000003</v>
      </c>
      <c r="AB20" s="100">
        <v>21427000</v>
      </c>
      <c r="AC20" s="99">
        <v>36.270000000000003</v>
      </c>
      <c r="AD20" s="2">
        <f t="shared" si="0"/>
        <v>0.35999999999999943</v>
      </c>
      <c r="AE20" s="137">
        <f t="shared" si="1"/>
        <v>-6.8455640744797819E-3</v>
      </c>
    </row>
    <row r="21" spans="1:31" x14ac:dyDescent="0.25">
      <c r="B21" s="192"/>
      <c r="C21" s="10"/>
      <c r="D21" s="40"/>
      <c r="E21" s="40"/>
      <c r="F21" s="40"/>
      <c r="G21" s="40"/>
      <c r="W21" s="98">
        <v>42769</v>
      </c>
      <c r="X21" s="102">
        <v>36.69</v>
      </c>
      <c r="Y21" s="102">
        <v>36.82</v>
      </c>
      <c r="Z21" s="102">
        <v>36.450000000000003</v>
      </c>
      <c r="AA21" s="102">
        <v>36.520000000000003</v>
      </c>
      <c r="AB21" s="100">
        <v>21038100</v>
      </c>
      <c r="AC21" s="99">
        <v>36.520000000000003</v>
      </c>
      <c r="AD21" s="2">
        <f t="shared" si="0"/>
        <v>0.36999999999999744</v>
      </c>
      <c r="AE21" s="137" t="e">
        <f t="shared" si="1"/>
        <v>#DIV/0!</v>
      </c>
    </row>
    <row r="22" spans="1:31" x14ac:dyDescent="0.25">
      <c r="B22" s="192"/>
      <c r="C22" s="10"/>
      <c r="D22" s="40"/>
      <c r="E22" s="40"/>
      <c r="F22" s="40"/>
      <c r="G22" s="40"/>
      <c r="W22" s="98">
        <v>42769</v>
      </c>
      <c r="X22" s="102" t="s">
        <v>139</v>
      </c>
      <c r="Y22" s="102"/>
      <c r="Z22" s="102"/>
      <c r="AA22" s="102"/>
      <c r="AB22" s="100"/>
      <c r="AC22" s="99"/>
      <c r="AD22" s="2">
        <f t="shared" si="0"/>
        <v>0</v>
      </c>
      <c r="AE22" s="137">
        <f t="shared" si="1"/>
        <v>-1</v>
      </c>
    </row>
    <row r="23" spans="1:31" x14ac:dyDescent="0.25">
      <c r="B23" s="10"/>
      <c r="C23" s="10"/>
      <c r="D23" s="40"/>
      <c r="E23" s="40"/>
      <c r="F23" s="40"/>
      <c r="G23" s="40"/>
      <c r="W23" s="98">
        <v>42768</v>
      </c>
      <c r="X23" s="102">
        <v>36.26</v>
      </c>
      <c r="Y23" s="102">
        <v>36.700000000000003</v>
      </c>
      <c r="Z23" s="102">
        <v>36.200000000000003</v>
      </c>
      <c r="AA23" s="102">
        <v>36.68</v>
      </c>
      <c r="AB23" s="100">
        <v>31916900</v>
      </c>
      <c r="AC23" s="99">
        <v>36.42</v>
      </c>
      <c r="AD23" s="2">
        <f t="shared" si="0"/>
        <v>0.5</v>
      </c>
      <c r="AE23" s="137">
        <f t="shared" si="1"/>
        <v>4.4125758411472926E-3</v>
      </c>
    </row>
    <row r="24" spans="1:31" x14ac:dyDescent="0.25">
      <c r="B24" s="10"/>
      <c r="C24" s="10"/>
      <c r="D24" s="40"/>
      <c r="E24" s="40"/>
      <c r="F24" s="40"/>
      <c r="G24" s="40"/>
      <c r="W24" s="98">
        <v>42767</v>
      </c>
      <c r="X24" s="102">
        <v>36.82</v>
      </c>
      <c r="Y24" s="102">
        <v>36.950000000000003</v>
      </c>
      <c r="Z24" s="102">
        <v>36.020000000000003</v>
      </c>
      <c r="AA24" s="102">
        <v>36.520000000000003</v>
      </c>
      <c r="AB24" s="100">
        <v>28380600</v>
      </c>
      <c r="AC24" s="99">
        <v>36.26</v>
      </c>
      <c r="AD24" s="2">
        <f t="shared" si="0"/>
        <v>0.92999999999999972</v>
      </c>
      <c r="AE24" s="137">
        <f t="shared" si="1"/>
        <v>-8.2056892778994417E-3</v>
      </c>
    </row>
    <row r="25" spans="1:31" x14ac:dyDescent="0.25">
      <c r="B25" s="10"/>
      <c r="C25" s="10"/>
      <c r="D25" s="40"/>
      <c r="E25" s="40"/>
      <c r="F25" s="40"/>
      <c r="G25" s="40"/>
      <c r="W25" s="98">
        <v>42766</v>
      </c>
      <c r="X25" s="102">
        <v>37.22</v>
      </c>
      <c r="Y25" s="102">
        <v>37.369999999999997</v>
      </c>
      <c r="Z25" s="102">
        <v>36.64</v>
      </c>
      <c r="AA25" s="102">
        <v>36.82</v>
      </c>
      <c r="AB25" s="100">
        <v>27059100</v>
      </c>
      <c r="AC25" s="99">
        <v>36.56</v>
      </c>
      <c r="AD25" s="2">
        <f t="shared" si="0"/>
        <v>0.72999999999999687</v>
      </c>
      <c r="AE25" s="137">
        <f t="shared" si="1"/>
        <v>-1.5881561238223374E-2</v>
      </c>
    </row>
    <row r="26" spans="1:31" x14ac:dyDescent="0.25">
      <c r="B26" s="10"/>
      <c r="C26" s="10"/>
      <c r="D26" s="40"/>
      <c r="E26" s="40"/>
      <c r="F26" s="40"/>
      <c r="G26" s="40"/>
      <c r="W26" s="98">
        <v>42765</v>
      </c>
      <c r="X26" s="102">
        <v>37.74</v>
      </c>
      <c r="Y26" s="102">
        <v>37.840000000000003</v>
      </c>
      <c r="Z26" s="102">
        <v>37.33</v>
      </c>
      <c r="AA26" s="102">
        <v>37.42</v>
      </c>
      <c r="AB26" s="100">
        <v>23954700</v>
      </c>
      <c r="AC26" s="99">
        <v>37.15</v>
      </c>
      <c r="AD26" s="2">
        <f t="shared" si="0"/>
        <v>0.51000000000000512</v>
      </c>
      <c r="AE26" s="137">
        <f t="shared" si="1"/>
        <v>-1.4850172368072179E-2</v>
      </c>
    </row>
    <row r="27" spans="1:31" x14ac:dyDescent="0.25">
      <c r="B27" s="10"/>
      <c r="C27" s="10"/>
      <c r="D27" s="40"/>
      <c r="E27" s="40"/>
      <c r="F27" s="40"/>
      <c r="G27" s="40"/>
      <c r="W27" s="98">
        <v>42762</v>
      </c>
      <c r="X27" s="102">
        <v>38</v>
      </c>
      <c r="Y27" s="102">
        <v>38.450000000000003</v>
      </c>
      <c r="Z27" s="102">
        <v>37.81</v>
      </c>
      <c r="AA27" s="102">
        <v>37.979999999999997</v>
      </c>
      <c r="AB27" s="100">
        <v>44368600</v>
      </c>
      <c r="AC27" s="99">
        <v>37.71</v>
      </c>
      <c r="AD27" s="2">
        <f t="shared" si="0"/>
        <v>0.64000000000000057</v>
      </c>
      <c r="AE27" s="137">
        <f t="shared" si="1"/>
        <v>1.1263073209975882E-2</v>
      </c>
    </row>
    <row r="28" spans="1:31" x14ac:dyDescent="0.25">
      <c r="B28" s="10"/>
      <c r="C28" s="10"/>
      <c r="D28" s="40"/>
      <c r="E28" s="40"/>
      <c r="F28" s="40"/>
      <c r="G28" s="40"/>
      <c r="W28" s="98">
        <v>42761</v>
      </c>
      <c r="X28" s="102">
        <v>37.82</v>
      </c>
      <c r="Y28" s="102">
        <v>37.92</v>
      </c>
      <c r="Z28" s="102">
        <v>37.42</v>
      </c>
      <c r="AA28" s="102">
        <v>37.56</v>
      </c>
      <c r="AB28" s="100">
        <v>34144800</v>
      </c>
      <c r="AC28" s="99">
        <v>37.29</v>
      </c>
      <c r="AD28" s="2">
        <f t="shared" si="0"/>
        <v>0.5</v>
      </c>
      <c r="AE28" s="137">
        <f t="shared" si="1"/>
        <v>-6.3948840927259276E-3</v>
      </c>
    </row>
    <row r="29" spans="1:31" x14ac:dyDescent="0.25">
      <c r="B29" s="10"/>
      <c r="C29" s="10"/>
      <c r="D29" s="40"/>
      <c r="E29" s="40"/>
      <c r="F29" s="40"/>
      <c r="G29" s="40"/>
      <c r="W29" s="98">
        <v>42760</v>
      </c>
      <c r="X29" s="102">
        <v>37.869999999999997</v>
      </c>
      <c r="Y29" s="102">
        <v>38</v>
      </c>
      <c r="Z29" s="102">
        <v>37.520000000000003</v>
      </c>
      <c r="AA29" s="102">
        <v>37.799999999999997</v>
      </c>
      <c r="AB29" s="100">
        <v>32276400</v>
      </c>
      <c r="AC29" s="99">
        <v>37.53</v>
      </c>
      <c r="AD29" s="2">
        <f t="shared" si="0"/>
        <v>0.47999999999999687</v>
      </c>
      <c r="AE29" s="137">
        <f t="shared" si="1"/>
        <v>4.8192771084336616E-3</v>
      </c>
    </row>
    <row r="30" spans="1:31" x14ac:dyDescent="0.25">
      <c r="B30" s="10"/>
      <c r="C30" s="10"/>
      <c r="D30" s="40"/>
      <c r="E30" s="40"/>
      <c r="F30" s="40"/>
      <c r="G30" s="40"/>
      <c r="W30" s="98">
        <v>42759</v>
      </c>
      <c r="X30" s="102">
        <v>36.840000000000003</v>
      </c>
      <c r="Y30" s="102">
        <v>37.74</v>
      </c>
      <c r="Z30" s="102">
        <v>36.81</v>
      </c>
      <c r="AA30" s="102">
        <v>37.619999999999997</v>
      </c>
      <c r="AB30" s="100">
        <v>35140900</v>
      </c>
      <c r="AC30" s="99">
        <v>37.35</v>
      </c>
      <c r="AD30" s="2">
        <f t="shared" si="0"/>
        <v>0.92999999999999972</v>
      </c>
      <c r="AE30" s="137">
        <f t="shared" si="1"/>
        <v>2.3007395234182493E-2</v>
      </c>
    </row>
    <row r="31" spans="1:31" x14ac:dyDescent="0.25">
      <c r="W31" s="98">
        <v>42758</v>
      </c>
      <c r="X31" s="102">
        <v>37.07</v>
      </c>
      <c r="Y31" s="102">
        <v>37.21</v>
      </c>
      <c r="Z31" s="102">
        <v>36.549999999999997</v>
      </c>
      <c r="AA31" s="102">
        <v>36.770000000000003</v>
      </c>
      <c r="AB31" s="100">
        <v>27752600</v>
      </c>
      <c r="AC31" s="99">
        <v>36.51</v>
      </c>
      <c r="AD31" s="2">
        <f t="shared" si="0"/>
        <v>0.66000000000000369</v>
      </c>
      <c r="AE31" s="137">
        <f t="shared" si="1"/>
        <v>-4.6346782988004875E-3</v>
      </c>
    </row>
    <row r="32" spans="1:31" x14ac:dyDescent="0.25">
      <c r="W32" s="98">
        <v>42755</v>
      </c>
      <c r="X32" s="102">
        <v>36.76</v>
      </c>
      <c r="Y32" s="102">
        <v>37.03</v>
      </c>
      <c r="Z32" s="102">
        <v>36.58</v>
      </c>
      <c r="AA32" s="102">
        <v>36.94</v>
      </c>
      <c r="AB32" s="100">
        <v>23950900</v>
      </c>
      <c r="AC32" s="99">
        <v>36.68</v>
      </c>
      <c r="AD32" s="2">
        <f t="shared" si="0"/>
        <v>0.45000000000000284</v>
      </c>
      <c r="AE32" s="137">
        <f t="shared" si="1"/>
        <v>1.0190030294684682E-2</v>
      </c>
    </row>
    <row r="33" spans="1:31" x14ac:dyDescent="0.25">
      <c r="L33" t="s">
        <v>212</v>
      </c>
      <c r="M33" s="2">
        <f>M56+K56-F56</f>
        <v>1407.5400000000009</v>
      </c>
      <c r="W33" s="98">
        <v>42754</v>
      </c>
      <c r="X33" s="102">
        <v>36.51</v>
      </c>
      <c r="Y33" s="102">
        <v>36.909999999999997</v>
      </c>
      <c r="Z33" s="102">
        <v>36.51</v>
      </c>
      <c r="AA33" s="102">
        <v>36.57</v>
      </c>
      <c r="AB33" s="100">
        <v>13654500</v>
      </c>
      <c r="AC33" s="99">
        <v>36.31</v>
      </c>
      <c r="AD33" s="2">
        <f t="shared" si="0"/>
        <v>0.39999999999999858</v>
      </c>
      <c r="AE33" s="137">
        <f t="shared" si="1"/>
        <v>-5.2054794520547398E-3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2" t="s">
        <v>5</v>
      </c>
      <c r="E34" s="262" t="s">
        <v>90</v>
      </c>
      <c r="F34" s="262" t="s">
        <v>60</v>
      </c>
      <c r="G34" s="262" t="s">
        <v>3</v>
      </c>
      <c r="H34" s="406" t="s">
        <v>6</v>
      </c>
      <c r="I34" s="262" t="s">
        <v>7</v>
      </c>
      <c r="J34" s="262" t="s">
        <v>89</v>
      </c>
      <c r="K34" s="262" t="s">
        <v>61</v>
      </c>
      <c r="L34" s="262" t="s">
        <v>77</v>
      </c>
      <c r="M34" s="262" t="s">
        <v>38</v>
      </c>
      <c r="W34" s="98">
        <v>42753</v>
      </c>
      <c r="X34" s="102">
        <v>36.89</v>
      </c>
      <c r="Y34" s="102">
        <v>37.01</v>
      </c>
      <c r="Z34" s="102">
        <v>36.61</v>
      </c>
      <c r="AA34" s="102">
        <v>36.76</v>
      </c>
      <c r="AB34" s="100">
        <v>15382500</v>
      </c>
      <c r="AC34" s="99">
        <v>36.5</v>
      </c>
      <c r="AD34" s="2">
        <f t="shared" si="0"/>
        <v>0.39999999999999858</v>
      </c>
      <c r="AE34" s="137">
        <f t="shared" si="1"/>
        <v>-1.0946907498631253E-3</v>
      </c>
    </row>
    <row r="35" spans="1:31" x14ac:dyDescent="0.25">
      <c r="A35" s="264" t="s">
        <v>27</v>
      </c>
      <c r="B35" s="265">
        <v>42164</v>
      </c>
      <c r="C35" s="260">
        <v>30</v>
      </c>
      <c r="D35" s="261">
        <v>32.200000000000003</v>
      </c>
      <c r="E35" s="261">
        <v>0</v>
      </c>
      <c r="F35" s="261">
        <f>C35*D35</f>
        <v>966.00000000000011</v>
      </c>
      <c r="G35" s="407">
        <v>42247</v>
      </c>
      <c r="H35" s="408">
        <v>100</v>
      </c>
      <c r="I35" s="367">
        <v>27.15</v>
      </c>
      <c r="J35" s="367">
        <v>0.05</v>
      </c>
      <c r="K35" s="274">
        <f t="shared" ref="K35:K43" si="2">H35*I35-J35</f>
        <v>2714.95</v>
      </c>
      <c r="L35" s="265">
        <v>42248</v>
      </c>
      <c r="M35" s="367">
        <v>156</v>
      </c>
      <c r="W35" s="98">
        <v>42752</v>
      </c>
      <c r="X35" s="102">
        <v>36.67</v>
      </c>
      <c r="Y35" s="102">
        <v>36.83</v>
      </c>
      <c r="Z35" s="102">
        <v>36.590000000000003</v>
      </c>
      <c r="AA35" s="102">
        <v>36.799999999999997</v>
      </c>
      <c r="AB35" s="100">
        <v>20195200</v>
      </c>
      <c r="AC35" s="99">
        <v>36.54</v>
      </c>
      <c r="AD35" s="2">
        <f t="shared" si="0"/>
        <v>0.23999999999999488</v>
      </c>
      <c r="AE35" s="137">
        <f t="shared" si="1"/>
        <v>2.7374760470832982E-4</v>
      </c>
    </row>
    <row r="36" spans="1:31" x14ac:dyDescent="0.25">
      <c r="A36" s="267" t="s">
        <v>71</v>
      </c>
      <c r="B36" s="265">
        <v>42166</v>
      </c>
      <c r="C36" s="260">
        <v>30</v>
      </c>
      <c r="D36" s="261">
        <v>31.3</v>
      </c>
      <c r="E36" s="261">
        <v>0</v>
      </c>
      <c r="F36" s="261">
        <f t="shared" ref="F36:F43" si="3">C36*D36</f>
        <v>939</v>
      </c>
      <c r="G36" s="265">
        <v>42263</v>
      </c>
      <c r="H36" s="266">
        <v>230</v>
      </c>
      <c r="I36" s="260">
        <v>29.47</v>
      </c>
      <c r="J36" s="260">
        <v>0.12</v>
      </c>
      <c r="K36" s="274">
        <f t="shared" si="2"/>
        <v>6777.98</v>
      </c>
      <c r="L36" s="265">
        <v>42339</v>
      </c>
      <c r="M36" s="261">
        <v>26.4</v>
      </c>
      <c r="W36" s="98">
        <v>42748</v>
      </c>
      <c r="X36" s="102">
        <v>36.71</v>
      </c>
      <c r="Y36" s="102">
        <v>36.86</v>
      </c>
      <c r="Z36" s="102">
        <v>36.619999999999997</v>
      </c>
      <c r="AA36" s="102">
        <v>36.79</v>
      </c>
      <c r="AB36" s="100">
        <v>15072200</v>
      </c>
      <c r="AC36" s="99">
        <v>36.53</v>
      </c>
      <c r="AD36" s="2">
        <f t="shared" si="0"/>
        <v>0.24000000000000199</v>
      </c>
      <c r="AE36" s="137">
        <f t="shared" si="1"/>
        <v>2.1947873799725848E-3</v>
      </c>
    </row>
    <row r="37" spans="1:31" x14ac:dyDescent="0.25">
      <c r="A37" s="260"/>
      <c r="B37" s="265">
        <v>42186</v>
      </c>
      <c r="C37" s="260">
        <v>140</v>
      </c>
      <c r="D37" s="261">
        <v>31.1</v>
      </c>
      <c r="E37" s="261">
        <v>0</v>
      </c>
      <c r="F37" s="261">
        <f t="shared" si="3"/>
        <v>4354</v>
      </c>
      <c r="G37" s="265">
        <v>42263</v>
      </c>
      <c r="H37" s="266">
        <v>180</v>
      </c>
      <c r="I37" s="260">
        <v>29.49</v>
      </c>
      <c r="J37" s="261">
        <v>0.09</v>
      </c>
      <c r="K37" s="367">
        <f t="shared" si="2"/>
        <v>5308.11</v>
      </c>
      <c r="L37" s="260"/>
      <c r="M37" s="260"/>
      <c r="W37" s="98">
        <v>42747</v>
      </c>
      <c r="X37" s="102">
        <v>36.83</v>
      </c>
      <c r="Y37" s="102">
        <v>36.83</v>
      </c>
      <c r="Z37" s="102">
        <v>36.32</v>
      </c>
      <c r="AA37" s="102">
        <v>36.71</v>
      </c>
      <c r="AB37" s="100">
        <v>20391900</v>
      </c>
      <c r="AC37" s="99">
        <v>36.450000000000003</v>
      </c>
      <c r="AD37" s="2">
        <f t="shared" si="0"/>
        <v>0.50999999999999801</v>
      </c>
      <c r="AE37" s="137">
        <f t="shared" si="1"/>
        <v>-6.5412919051511809E-3</v>
      </c>
    </row>
    <row r="38" spans="1:31" x14ac:dyDescent="0.25">
      <c r="A38" s="260"/>
      <c r="B38" s="265">
        <v>42186</v>
      </c>
      <c r="C38" s="260">
        <v>200</v>
      </c>
      <c r="D38" s="261">
        <v>30.9</v>
      </c>
      <c r="E38" s="261">
        <v>0</v>
      </c>
      <c r="F38" s="261">
        <f t="shared" si="3"/>
        <v>6180</v>
      </c>
      <c r="G38" s="265">
        <v>42282</v>
      </c>
      <c r="H38" s="266">
        <v>710</v>
      </c>
      <c r="I38" s="260">
        <v>30.05</v>
      </c>
      <c r="J38" s="261">
        <v>0.39</v>
      </c>
      <c r="K38" s="367">
        <f t="shared" si="2"/>
        <v>21335.11</v>
      </c>
      <c r="L38" s="260"/>
      <c r="M38" s="260"/>
      <c r="W38" s="98">
        <v>42746</v>
      </c>
      <c r="X38" s="102">
        <v>36.51</v>
      </c>
      <c r="Y38" s="102">
        <v>37</v>
      </c>
      <c r="Z38" s="102">
        <v>36.51</v>
      </c>
      <c r="AA38" s="102">
        <v>36.950000000000003</v>
      </c>
      <c r="AB38" s="100">
        <v>22398400</v>
      </c>
      <c r="AC38" s="99">
        <v>36.69</v>
      </c>
      <c r="AD38" s="2">
        <f t="shared" si="0"/>
        <v>0.49000000000000199</v>
      </c>
      <c r="AE38" s="137">
        <f t="shared" si="1"/>
        <v>1.1300992282249123E-2</v>
      </c>
    </row>
    <row r="39" spans="1:31" x14ac:dyDescent="0.25">
      <c r="A39" s="260"/>
      <c r="B39" s="265">
        <v>42194</v>
      </c>
      <c r="C39" s="260">
        <v>100</v>
      </c>
      <c r="D39" s="261">
        <v>29.8</v>
      </c>
      <c r="E39" s="261">
        <v>0</v>
      </c>
      <c r="F39" s="261">
        <f t="shared" si="3"/>
        <v>2980</v>
      </c>
      <c r="G39" s="265">
        <v>42291</v>
      </c>
      <c r="H39" s="266">
        <v>60</v>
      </c>
      <c r="I39" s="260">
        <v>32.450000000000003</v>
      </c>
      <c r="J39" s="260">
        <v>0.04</v>
      </c>
      <c r="K39" s="367">
        <f t="shared" si="2"/>
        <v>1946.9600000000003</v>
      </c>
      <c r="L39" s="260"/>
      <c r="M39" s="260"/>
      <c r="W39" s="98">
        <v>42745</v>
      </c>
      <c r="X39" s="102">
        <v>36.549999999999997</v>
      </c>
      <c r="Y39" s="102">
        <v>36.93</v>
      </c>
      <c r="Z39" s="102">
        <v>36.53</v>
      </c>
      <c r="AA39" s="102">
        <v>36.54</v>
      </c>
      <c r="AB39" s="100">
        <v>15918800</v>
      </c>
      <c r="AC39" s="99">
        <v>36.28</v>
      </c>
      <c r="AD39" s="2">
        <f t="shared" si="0"/>
        <v>0.39999999999999858</v>
      </c>
      <c r="AE39" s="137">
        <f t="shared" si="1"/>
        <v>-1.9257221458046647E-3</v>
      </c>
    </row>
    <row r="40" spans="1:31" ht="20.25" thickBot="1" x14ac:dyDescent="0.35">
      <c r="A40" s="260"/>
      <c r="B40" s="265">
        <v>42207</v>
      </c>
      <c r="C40" s="260">
        <v>50</v>
      </c>
      <c r="D40" s="261">
        <v>29.32</v>
      </c>
      <c r="E40" s="261">
        <v>0</v>
      </c>
      <c r="F40" s="261">
        <f t="shared" si="3"/>
        <v>1466</v>
      </c>
      <c r="G40" s="265">
        <v>42296</v>
      </c>
      <c r="H40" s="266">
        <v>200</v>
      </c>
      <c r="I40" s="260">
        <v>32.82</v>
      </c>
      <c r="J40" s="260">
        <v>0.12</v>
      </c>
      <c r="K40" s="367">
        <f t="shared" si="2"/>
        <v>6563.88</v>
      </c>
      <c r="L40" s="260"/>
      <c r="M40" s="260"/>
      <c r="O40" s="703" t="s">
        <v>78</v>
      </c>
      <c r="P40" s="703"/>
      <c r="W40" s="98">
        <v>42744</v>
      </c>
      <c r="X40" s="102">
        <v>36.479999999999997</v>
      </c>
      <c r="Y40" s="102">
        <v>36.89</v>
      </c>
      <c r="Z40" s="102">
        <v>36.479999999999997</v>
      </c>
      <c r="AA40" s="102">
        <v>36.61</v>
      </c>
      <c r="AB40" s="100">
        <v>19449400</v>
      </c>
      <c r="AC40" s="99">
        <v>36.35</v>
      </c>
      <c r="AD40" s="2">
        <f t="shared" si="0"/>
        <v>0.41000000000000369</v>
      </c>
      <c r="AE40" s="137">
        <f t="shared" si="1"/>
        <v>3.5891772501381869E-3</v>
      </c>
    </row>
    <row r="41" spans="1:31" ht="15.75" thickTop="1" x14ac:dyDescent="0.25">
      <c r="A41" s="260"/>
      <c r="B41" s="265">
        <v>42209</v>
      </c>
      <c r="C41" s="260">
        <v>50</v>
      </c>
      <c r="D41" s="261">
        <v>28.6</v>
      </c>
      <c r="E41" s="261">
        <v>0</v>
      </c>
      <c r="F41" s="261">
        <f t="shared" si="3"/>
        <v>1430</v>
      </c>
      <c r="G41" s="265">
        <v>42299</v>
      </c>
      <c r="H41" s="266">
        <v>80</v>
      </c>
      <c r="I41" s="260">
        <v>33.549999999999997</v>
      </c>
      <c r="J41" s="260">
        <v>0.05</v>
      </c>
      <c r="K41" s="367">
        <f t="shared" si="2"/>
        <v>2683.95</v>
      </c>
      <c r="L41" s="260"/>
      <c r="M41" s="260"/>
      <c r="O41" s="82">
        <v>1.1000000000000001</v>
      </c>
      <c r="P41" s="82">
        <f>O41*$Q$4</f>
        <v>39.500999999999998</v>
      </c>
      <c r="Q41" s="2"/>
      <c r="W41" s="98">
        <v>42741</v>
      </c>
      <c r="X41" s="102">
        <v>36.590000000000003</v>
      </c>
      <c r="Y41" s="102">
        <v>36.68</v>
      </c>
      <c r="Z41" s="102">
        <v>36.19</v>
      </c>
      <c r="AA41" s="102">
        <v>36.479999999999997</v>
      </c>
      <c r="AB41" s="100">
        <v>15114000</v>
      </c>
      <c r="AC41" s="99">
        <v>36.22</v>
      </c>
      <c r="AD41" s="2">
        <f t="shared" si="0"/>
        <v>0.49000000000000199</v>
      </c>
      <c r="AE41" s="137">
        <f t="shared" si="1"/>
        <v>3.6021058464947853E-3</v>
      </c>
    </row>
    <row r="42" spans="1:31" ht="20.25" thickBot="1" x14ac:dyDescent="0.35">
      <c r="A42" s="260"/>
      <c r="B42" s="265">
        <v>42214</v>
      </c>
      <c r="C42" s="260">
        <v>50</v>
      </c>
      <c r="D42" s="261">
        <v>28.19</v>
      </c>
      <c r="E42" s="261">
        <v>0</v>
      </c>
      <c r="F42" s="261">
        <f t="shared" si="3"/>
        <v>1409.5</v>
      </c>
      <c r="G42" s="265">
        <v>42304</v>
      </c>
      <c r="H42" s="266">
        <v>40</v>
      </c>
      <c r="I42" s="260">
        <v>34.049999999999997</v>
      </c>
      <c r="J42" s="260">
        <v>0.03</v>
      </c>
      <c r="K42" s="367">
        <f t="shared" si="2"/>
        <v>1361.97</v>
      </c>
      <c r="L42" s="260"/>
      <c r="M42" s="260"/>
      <c r="O42" s="82">
        <v>1.0900000000000001</v>
      </c>
      <c r="P42" s="82">
        <f t="shared" ref="P42:P61" si="4">O42*$Q$4</f>
        <v>39.1419</v>
      </c>
      <c r="Q42" s="2"/>
      <c r="T42" s="90" t="s">
        <v>113</v>
      </c>
      <c r="W42" s="98">
        <v>42740</v>
      </c>
      <c r="X42" s="102">
        <v>36.450000000000003</v>
      </c>
      <c r="Y42" s="102">
        <v>36.72</v>
      </c>
      <c r="Z42" s="102">
        <v>36.31</v>
      </c>
      <c r="AA42" s="102">
        <v>36.35</v>
      </c>
      <c r="AB42" s="100">
        <v>13986000</v>
      </c>
      <c r="AC42" s="99">
        <v>36.090000000000003</v>
      </c>
      <c r="AD42" s="2">
        <f t="shared" si="0"/>
        <v>0.40999999999999659</v>
      </c>
      <c r="AE42" s="137">
        <f t="shared" si="1"/>
        <v>-1.6597510373442814E-3</v>
      </c>
    </row>
    <row r="43" spans="1:31" ht="15.75" thickTop="1" x14ac:dyDescent="0.25">
      <c r="A43" s="260"/>
      <c r="B43" s="265">
        <v>42240</v>
      </c>
      <c r="C43" s="260">
        <v>100</v>
      </c>
      <c r="D43" s="261">
        <v>28.4</v>
      </c>
      <c r="E43" s="261">
        <v>0</v>
      </c>
      <c r="F43" s="261">
        <f t="shared" si="3"/>
        <v>2840</v>
      </c>
      <c r="G43" s="265">
        <v>42332</v>
      </c>
      <c r="H43" s="266">
        <v>110</v>
      </c>
      <c r="I43" s="260">
        <v>34.450000000000003</v>
      </c>
      <c r="J43" s="260">
        <v>7.0000000000000007E-2</v>
      </c>
      <c r="K43" s="367">
        <f t="shared" si="2"/>
        <v>3789.4300000000003</v>
      </c>
      <c r="L43" s="260"/>
      <c r="M43" s="260"/>
      <c r="O43" s="82">
        <v>1.08</v>
      </c>
      <c r="P43" s="82">
        <f t="shared" si="4"/>
        <v>38.782800000000002</v>
      </c>
      <c r="Q43" s="2"/>
      <c r="T43" s="96" t="s">
        <v>98</v>
      </c>
      <c r="U43" s="97">
        <v>35.909999999999997</v>
      </c>
      <c r="V43" s="409"/>
      <c r="W43" s="98">
        <v>42739</v>
      </c>
      <c r="X43" s="102">
        <v>36.71</v>
      </c>
      <c r="Y43" s="102">
        <v>36.770000000000003</v>
      </c>
      <c r="Z43" s="102">
        <v>36.340000000000003</v>
      </c>
      <c r="AA43" s="102">
        <v>36.409999999999997</v>
      </c>
      <c r="AB43" s="100">
        <v>15915700</v>
      </c>
      <c r="AC43" s="99">
        <v>36.15</v>
      </c>
      <c r="AD43" s="2">
        <f t="shared" si="0"/>
        <v>0.42999999999999972</v>
      </c>
      <c r="AE43" s="137">
        <f t="shared" si="1"/>
        <v>-5.2283984589984733E-3</v>
      </c>
    </row>
    <row r="44" spans="1:31" x14ac:dyDescent="0.25">
      <c r="A44" s="260"/>
      <c r="B44" s="265">
        <v>42240</v>
      </c>
      <c r="C44" s="260">
        <v>50</v>
      </c>
      <c r="D44" s="261">
        <v>28.3</v>
      </c>
      <c r="E44" s="261">
        <v>0</v>
      </c>
      <c r="F44" s="261">
        <f>C44*D44</f>
        <v>1415</v>
      </c>
      <c r="G44" s="260"/>
      <c r="H44" s="266"/>
      <c r="I44" s="260"/>
      <c r="J44" s="260"/>
      <c r="K44" s="260"/>
      <c r="L44" s="260"/>
      <c r="M44" s="260"/>
      <c r="O44" s="82">
        <v>1.07</v>
      </c>
      <c r="P44" s="82">
        <f t="shared" si="4"/>
        <v>38.423699999999997</v>
      </c>
      <c r="Q44" s="2"/>
      <c r="T44" s="86" t="s">
        <v>99</v>
      </c>
      <c r="U44" s="87">
        <v>35.94</v>
      </c>
      <c r="V44" s="410"/>
      <c r="W44" s="98">
        <v>42738</v>
      </c>
      <c r="X44" s="102">
        <v>36.61</v>
      </c>
      <c r="Y44" s="102">
        <v>36.93</v>
      </c>
      <c r="Z44" s="102">
        <v>36.270000000000003</v>
      </c>
      <c r="AA44" s="102">
        <v>36.6</v>
      </c>
      <c r="AB44" s="100">
        <v>20196500</v>
      </c>
      <c r="AC44" s="99">
        <v>36.340000000000003</v>
      </c>
      <c r="AD44" s="2">
        <f t="shared" si="0"/>
        <v>0.65999999999999659</v>
      </c>
      <c r="AE44" s="137">
        <f t="shared" si="1"/>
        <v>9.1641210774786597E-3</v>
      </c>
    </row>
    <row r="45" spans="1:31" x14ac:dyDescent="0.25">
      <c r="A45" s="260"/>
      <c r="B45" s="265">
        <v>42244</v>
      </c>
      <c r="C45" s="260">
        <v>100</v>
      </c>
      <c r="D45" s="261">
        <v>26.7</v>
      </c>
      <c r="E45" s="261">
        <v>0</v>
      </c>
      <c r="F45" s="261">
        <f t="shared" ref="F45:F51" si="5">C45*D45</f>
        <v>2670</v>
      </c>
      <c r="G45" s="260"/>
      <c r="H45" s="266"/>
      <c r="I45" s="260"/>
      <c r="J45" s="260"/>
      <c r="K45" s="260"/>
      <c r="L45" s="260"/>
      <c r="M45" s="260"/>
      <c r="O45" s="82">
        <v>1.06</v>
      </c>
      <c r="P45" s="82">
        <f t="shared" si="4"/>
        <v>38.064599999999999</v>
      </c>
      <c r="Q45" s="2"/>
      <c r="T45" s="86" t="s">
        <v>100</v>
      </c>
      <c r="U45" s="87" t="s">
        <v>657</v>
      </c>
      <c r="V45" s="410"/>
      <c r="W45" s="98">
        <v>42734</v>
      </c>
      <c r="X45" s="102">
        <v>36.79</v>
      </c>
      <c r="Y45" s="102">
        <v>36.799999999999997</v>
      </c>
      <c r="Z45" s="102">
        <v>36.200000000000003</v>
      </c>
      <c r="AA45" s="102">
        <v>36.270000000000003</v>
      </c>
      <c r="AB45" s="100">
        <v>17468000</v>
      </c>
      <c r="AC45" s="99">
        <v>36.01</v>
      </c>
      <c r="AD45" s="2">
        <f t="shared" si="0"/>
        <v>0.59999999999999432</v>
      </c>
      <c r="AE45" s="137">
        <f t="shared" si="1"/>
        <v>-1.0714285714285676E-2</v>
      </c>
    </row>
    <row r="46" spans="1:31" x14ac:dyDescent="0.25">
      <c r="A46" s="260"/>
      <c r="B46" s="265">
        <v>42270</v>
      </c>
      <c r="C46" s="260">
        <v>330</v>
      </c>
      <c r="D46" s="261">
        <v>29.15</v>
      </c>
      <c r="E46" s="261">
        <v>0</v>
      </c>
      <c r="F46" s="261">
        <f t="shared" si="5"/>
        <v>9619.5</v>
      </c>
      <c r="G46" s="260"/>
      <c r="H46" s="266"/>
      <c r="I46" s="260"/>
      <c r="J46" s="260"/>
      <c r="K46" s="260"/>
      <c r="L46" s="260"/>
      <c r="M46" s="260"/>
      <c r="O46" s="82">
        <v>1.05</v>
      </c>
      <c r="P46" s="82">
        <f t="shared" si="4"/>
        <v>37.705500000000001</v>
      </c>
      <c r="Q46" s="2"/>
      <c r="T46" s="86" t="s">
        <v>101</v>
      </c>
      <c r="U46" s="87" t="s">
        <v>658</v>
      </c>
      <c r="V46" s="410"/>
      <c r="W46" s="98">
        <v>42733</v>
      </c>
      <c r="X46" s="102">
        <v>36.51</v>
      </c>
      <c r="Y46" s="102">
        <v>36.72</v>
      </c>
      <c r="Z46" s="102">
        <v>36.43</v>
      </c>
      <c r="AA46" s="102">
        <v>36.659999999999997</v>
      </c>
      <c r="AB46" s="100">
        <v>8447300</v>
      </c>
      <c r="AC46" s="99">
        <v>36.4</v>
      </c>
      <c r="AD46" s="2">
        <f t="shared" si="0"/>
        <v>0.28999999999999915</v>
      </c>
      <c r="AE46" s="137">
        <f t="shared" si="1"/>
        <v>8.2485565026124696E-4</v>
      </c>
    </row>
    <row r="47" spans="1:31" x14ac:dyDescent="0.25">
      <c r="A47" s="260"/>
      <c r="B47" s="265">
        <v>42276</v>
      </c>
      <c r="C47" s="260">
        <v>50</v>
      </c>
      <c r="D47" s="260">
        <v>27.95</v>
      </c>
      <c r="E47" s="261">
        <v>0</v>
      </c>
      <c r="F47" s="261">
        <f t="shared" si="5"/>
        <v>1397.5</v>
      </c>
      <c r="G47" s="260"/>
      <c r="H47" s="266"/>
      <c r="I47" s="260"/>
      <c r="J47" s="260"/>
      <c r="K47" s="260"/>
      <c r="L47" s="260"/>
      <c r="M47" s="260"/>
      <c r="O47" s="82">
        <v>1.04</v>
      </c>
      <c r="P47" s="82">
        <f t="shared" si="4"/>
        <v>37.346399999999996</v>
      </c>
      <c r="Q47" s="2"/>
      <c r="T47" s="86" t="s">
        <v>102</v>
      </c>
      <c r="U47" s="87">
        <v>40.630000000000003</v>
      </c>
      <c r="V47" s="410"/>
      <c r="W47" s="98">
        <v>42732</v>
      </c>
      <c r="X47" s="102">
        <v>37.1</v>
      </c>
      <c r="Y47" s="102">
        <v>37.200000000000003</v>
      </c>
      <c r="Z47" s="102">
        <v>36.58</v>
      </c>
      <c r="AA47" s="102">
        <v>36.630000000000003</v>
      </c>
      <c r="AB47" s="100">
        <v>12868600</v>
      </c>
      <c r="AC47" s="99">
        <v>36.369999999999997</v>
      </c>
      <c r="AD47" s="2">
        <f t="shared" si="0"/>
        <v>0.62000000000000455</v>
      </c>
      <c r="AE47" s="137">
        <f t="shared" si="1"/>
        <v>-1.1953273566965628E-2</v>
      </c>
    </row>
    <row r="48" spans="1:31" x14ac:dyDescent="0.25">
      <c r="A48" s="260"/>
      <c r="B48" s="265">
        <v>42293</v>
      </c>
      <c r="C48" s="260">
        <v>80</v>
      </c>
      <c r="D48" s="261">
        <v>32.090000000000003</v>
      </c>
      <c r="E48" s="261">
        <v>0</v>
      </c>
      <c r="F48" s="261">
        <f t="shared" si="5"/>
        <v>2567.2000000000003</v>
      </c>
      <c r="G48" s="260"/>
      <c r="H48" s="266"/>
      <c r="I48" s="260"/>
      <c r="J48" s="260"/>
      <c r="K48" s="260"/>
      <c r="L48" s="260"/>
      <c r="M48" s="260"/>
      <c r="O48" s="82">
        <v>1.03</v>
      </c>
      <c r="P48" s="82">
        <f t="shared" si="4"/>
        <v>36.987299999999998</v>
      </c>
      <c r="Q48" s="2"/>
      <c r="T48" s="86" t="s">
        <v>103</v>
      </c>
      <c r="U48" s="87">
        <v>1.1121399999999999</v>
      </c>
      <c r="V48" s="410"/>
      <c r="W48" s="98">
        <v>42731</v>
      </c>
      <c r="X48" s="102">
        <v>36.909999999999997</v>
      </c>
      <c r="Y48" s="102">
        <v>37.33</v>
      </c>
      <c r="Z48" s="102">
        <v>36.909999999999997</v>
      </c>
      <c r="AA48" s="102">
        <v>37.07</v>
      </c>
      <c r="AB48" s="100">
        <v>9033700</v>
      </c>
      <c r="AC48" s="99">
        <v>36.81</v>
      </c>
      <c r="AD48" s="2">
        <f t="shared" si="0"/>
        <v>0.42000000000000171</v>
      </c>
      <c r="AE48" s="137">
        <f t="shared" si="1"/>
        <v>2.7240533914465459E-3</v>
      </c>
    </row>
    <row r="49" spans="1:31" x14ac:dyDescent="0.25">
      <c r="A49" s="260"/>
      <c r="B49" s="265">
        <v>42293</v>
      </c>
      <c r="C49" s="260">
        <v>80</v>
      </c>
      <c r="D49" s="261">
        <v>31.95</v>
      </c>
      <c r="E49" s="261">
        <v>0</v>
      </c>
      <c r="F49" s="261">
        <f t="shared" si="5"/>
        <v>2556</v>
      </c>
      <c r="G49" s="260"/>
      <c r="H49" s="266"/>
      <c r="I49" s="260"/>
      <c r="J49" s="260"/>
      <c r="K49" s="260"/>
      <c r="L49" s="260"/>
      <c r="M49" s="260"/>
      <c r="O49" s="82">
        <v>1.02</v>
      </c>
      <c r="P49" s="82">
        <f t="shared" si="4"/>
        <v>36.6282</v>
      </c>
      <c r="Q49" s="2"/>
      <c r="T49" s="86" t="s">
        <v>104</v>
      </c>
      <c r="U49" s="88" t="s">
        <v>483</v>
      </c>
      <c r="V49" s="411"/>
      <c r="W49" s="98">
        <v>42727</v>
      </c>
      <c r="X49" s="102">
        <v>36.93</v>
      </c>
      <c r="Y49" s="102">
        <v>36.979999999999997</v>
      </c>
      <c r="Z49" s="102">
        <v>36.770000000000003</v>
      </c>
      <c r="AA49" s="102">
        <v>36.97</v>
      </c>
      <c r="AB49" s="100">
        <v>6287300</v>
      </c>
      <c r="AC49" s="99">
        <v>36.71</v>
      </c>
      <c r="AD49" s="2">
        <f t="shared" si="0"/>
        <v>0.20999999999999375</v>
      </c>
      <c r="AE49" s="137">
        <f t="shared" si="1"/>
        <v>1.0908099263702287E-3</v>
      </c>
    </row>
    <row r="50" spans="1:31" x14ac:dyDescent="0.25">
      <c r="A50" s="260"/>
      <c r="B50" s="265">
        <v>42293</v>
      </c>
      <c r="C50" s="260">
        <v>120</v>
      </c>
      <c r="D50" s="261">
        <v>31.75</v>
      </c>
      <c r="E50" s="261">
        <v>0</v>
      </c>
      <c r="F50" s="261">
        <f t="shared" si="5"/>
        <v>3810</v>
      </c>
      <c r="G50" s="260"/>
      <c r="H50" s="266"/>
      <c r="I50" s="260"/>
      <c r="J50" s="260"/>
      <c r="K50" s="260"/>
      <c r="L50" s="260"/>
      <c r="M50" s="260"/>
      <c r="O50" s="82">
        <v>1.01</v>
      </c>
      <c r="P50" s="82">
        <f t="shared" si="4"/>
        <v>36.269099999999995</v>
      </c>
      <c r="Q50" s="2"/>
      <c r="T50" s="86"/>
      <c r="U50" s="87"/>
      <c r="V50" s="410"/>
      <c r="W50" s="98">
        <v>42726</v>
      </c>
      <c r="X50" s="102">
        <v>37.229999999999997</v>
      </c>
      <c r="Y50" s="102">
        <v>37.24</v>
      </c>
      <c r="Z50" s="102">
        <v>36.81</v>
      </c>
      <c r="AA50" s="102">
        <v>36.93</v>
      </c>
      <c r="AB50" s="100">
        <v>10793900</v>
      </c>
      <c r="AC50" s="99">
        <v>36.67</v>
      </c>
      <c r="AD50" s="2">
        <f t="shared" si="0"/>
        <v>0.42999999999999972</v>
      </c>
      <c r="AE50" s="137">
        <f t="shared" si="1"/>
        <v>-1.3616557734204005E-3</v>
      </c>
    </row>
    <row r="51" spans="1:31" x14ac:dyDescent="0.25">
      <c r="A51" s="260"/>
      <c r="B51" s="265">
        <v>42293</v>
      </c>
      <c r="C51" s="260">
        <v>150</v>
      </c>
      <c r="D51" s="261">
        <v>31.05</v>
      </c>
      <c r="E51" s="261">
        <v>0</v>
      </c>
      <c r="F51" s="261">
        <f t="shared" si="5"/>
        <v>4657.5</v>
      </c>
      <c r="G51" s="261"/>
      <c r="H51" s="266"/>
      <c r="I51" s="260"/>
      <c r="J51" s="260"/>
      <c r="K51" s="261"/>
      <c r="L51" s="260"/>
      <c r="M51" s="260"/>
      <c r="O51" s="82">
        <v>1</v>
      </c>
      <c r="P51" s="82">
        <f t="shared" si="4"/>
        <v>35.909999999999997</v>
      </c>
      <c r="Q51" s="2"/>
      <c r="T51" s="86" t="s">
        <v>105</v>
      </c>
      <c r="U51" s="87" t="s">
        <v>659</v>
      </c>
      <c r="V51" s="410"/>
      <c r="W51" s="98">
        <v>42725</v>
      </c>
      <c r="X51" s="102">
        <v>37.25</v>
      </c>
      <c r="Y51" s="102">
        <v>37.35</v>
      </c>
      <c r="Z51" s="102">
        <v>36.909999999999997</v>
      </c>
      <c r="AA51" s="102">
        <v>36.979999999999997</v>
      </c>
      <c r="AB51" s="100">
        <v>14323600</v>
      </c>
      <c r="AC51" s="99">
        <v>36.72</v>
      </c>
      <c r="AD51" s="2">
        <f t="shared" si="0"/>
        <v>0.44000000000000483</v>
      </c>
      <c r="AE51" s="137">
        <f t="shared" si="1"/>
        <v>-6.2246278755075934E-3</v>
      </c>
    </row>
    <row r="52" spans="1:31" x14ac:dyDescent="0.25">
      <c r="A52" s="260"/>
      <c r="B52" s="260"/>
      <c r="C52" s="260"/>
      <c r="D52" s="260"/>
      <c r="E52" s="261"/>
      <c r="F52" s="260"/>
      <c r="G52" s="261"/>
      <c r="H52" s="266"/>
      <c r="I52" s="261"/>
      <c r="J52" s="260"/>
      <c r="K52" s="261"/>
      <c r="L52" s="260"/>
      <c r="M52" s="260"/>
      <c r="O52" s="82">
        <v>0.99</v>
      </c>
      <c r="P52" s="82">
        <f t="shared" si="4"/>
        <v>35.550899999999999</v>
      </c>
      <c r="Q52" s="2"/>
      <c r="T52" s="86" t="s">
        <v>106</v>
      </c>
      <c r="U52" s="87" t="s">
        <v>513</v>
      </c>
      <c r="V52" s="410"/>
      <c r="W52" s="98">
        <v>42724</v>
      </c>
      <c r="X52" s="102">
        <v>36.950000000000003</v>
      </c>
      <c r="Y52" s="102">
        <v>37.24</v>
      </c>
      <c r="Z52" s="102">
        <v>36.89</v>
      </c>
      <c r="AA52" s="102">
        <v>37.21</v>
      </c>
      <c r="AB52" s="100">
        <v>18551800</v>
      </c>
      <c r="AC52" s="99">
        <v>36.950000000000003</v>
      </c>
      <c r="AD52" s="2">
        <f t="shared" si="0"/>
        <v>0.35000000000000142</v>
      </c>
      <c r="AE52" s="137">
        <f t="shared" si="1"/>
        <v>8.7360087360086602E-3</v>
      </c>
    </row>
    <row r="53" spans="1:31" x14ac:dyDescent="0.25">
      <c r="A53" s="260"/>
      <c r="B53" s="260"/>
      <c r="C53" s="260"/>
      <c r="D53" s="260"/>
      <c r="E53" s="260"/>
      <c r="F53" s="260"/>
      <c r="G53" s="260"/>
      <c r="H53" s="266"/>
      <c r="I53" s="260"/>
      <c r="J53" s="260"/>
      <c r="K53" s="260"/>
      <c r="L53" s="260"/>
      <c r="M53" s="260"/>
      <c r="O53" s="82">
        <v>0.98</v>
      </c>
      <c r="P53" s="82">
        <f t="shared" si="4"/>
        <v>35.191799999999994</v>
      </c>
      <c r="Q53" s="2"/>
      <c r="T53" s="86" t="s">
        <v>107</v>
      </c>
      <c r="U53" s="89">
        <v>17540896</v>
      </c>
      <c r="V53" s="412"/>
      <c r="W53" s="98">
        <v>42723</v>
      </c>
      <c r="X53" s="102">
        <v>36.340000000000003</v>
      </c>
      <c r="Y53" s="102">
        <v>36.950000000000003</v>
      </c>
      <c r="Z53" s="102">
        <v>36.270000000000003</v>
      </c>
      <c r="AA53" s="102">
        <v>36.89</v>
      </c>
      <c r="AB53" s="100">
        <v>18744300</v>
      </c>
      <c r="AC53" s="99">
        <v>36.630000000000003</v>
      </c>
      <c r="AD53" s="2">
        <f t="shared" si="0"/>
        <v>0.67999999999999972</v>
      </c>
      <c r="AE53" s="137">
        <f t="shared" si="1"/>
        <v>1.6088765603328836E-2</v>
      </c>
    </row>
    <row r="54" spans="1:31" x14ac:dyDescent="0.25">
      <c r="A54" s="260"/>
      <c r="B54" s="260"/>
      <c r="C54" s="260"/>
      <c r="D54" s="260"/>
      <c r="E54" s="260"/>
      <c r="F54" s="260"/>
      <c r="G54" s="260"/>
      <c r="H54" s="266"/>
      <c r="I54" s="260"/>
      <c r="J54" s="260"/>
      <c r="K54" s="260"/>
      <c r="L54" s="260"/>
      <c r="M54" s="260"/>
      <c r="O54" s="82">
        <v>0.97</v>
      </c>
      <c r="P54" s="82">
        <f t="shared" si="4"/>
        <v>34.832699999999996</v>
      </c>
      <c r="T54" s="86" t="s">
        <v>110</v>
      </c>
      <c r="U54" s="89">
        <v>22358900</v>
      </c>
      <c r="V54" s="412"/>
      <c r="W54" s="98">
        <v>42720</v>
      </c>
      <c r="X54" s="102">
        <v>36.72</v>
      </c>
      <c r="Y54" s="102">
        <v>36.869999999999997</v>
      </c>
      <c r="Z54" s="102">
        <v>36.090000000000003</v>
      </c>
      <c r="AA54" s="102">
        <v>36.31</v>
      </c>
      <c r="AB54" s="100">
        <v>38212800</v>
      </c>
      <c r="AC54" s="99">
        <v>36.049999999999997</v>
      </c>
      <c r="AD54" s="2">
        <f t="shared" si="0"/>
        <v>0.77999999999999403</v>
      </c>
      <c r="AE54" s="137">
        <f t="shared" si="1"/>
        <v>-1.3139885026006159E-2</v>
      </c>
    </row>
    <row r="55" spans="1:31" x14ac:dyDescent="0.25">
      <c r="A55" s="260"/>
      <c r="B55" s="260"/>
      <c r="C55" s="260"/>
      <c r="D55" s="260"/>
      <c r="E55" s="260"/>
      <c r="F55" s="260"/>
      <c r="G55" s="260"/>
      <c r="H55" s="266"/>
      <c r="I55" s="260"/>
      <c r="J55" s="260"/>
      <c r="K55" s="260"/>
      <c r="L55" s="260"/>
      <c r="M55" s="260"/>
      <c r="O55" s="82">
        <v>0.96</v>
      </c>
      <c r="P55" s="82">
        <f t="shared" si="4"/>
        <v>34.473599999999998</v>
      </c>
      <c r="T55" s="86" t="s">
        <v>108</v>
      </c>
      <c r="U55" s="87" t="s">
        <v>660</v>
      </c>
      <c r="V55" s="410"/>
      <c r="W55" s="98">
        <v>42719</v>
      </c>
      <c r="X55" s="102">
        <v>36.74</v>
      </c>
      <c r="Y55" s="102">
        <v>37.159999999999997</v>
      </c>
      <c r="Z55" s="102">
        <v>36.53</v>
      </c>
      <c r="AA55" s="102">
        <v>36.79</v>
      </c>
      <c r="AB55" s="100">
        <v>23721500</v>
      </c>
      <c r="AC55" s="99">
        <v>36.53</v>
      </c>
      <c r="AD55" s="2">
        <f t="shared" si="0"/>
        <v>0.62999999999999545</v>
      </c>
      <c r="AE55" s="137">
        <f t="shared" si="1"/>
        <v>6.613392119041217E-3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34.114499999999992</v>
      </c>
      <c r="T56" s="86" t="s">
        <v>111</v>
      </c>
      <c r="U56" s="87">
        <v>16.93</v>
      </c>
      <c r="V56" s="410"/>
      <c r="W56" s="98">
        <v>42718</v>
      </c>
      <c r="X56" s="102">
        <v>36.700000000000003</v>
      </c>
      <c r="Y56" s="102">
        <v>36.89</v>
      </c>
      <c r="Z56" s="102">
        <v>36.46</v>
      </c>
      <c r="AA56" s="102">
        <v>36.549999999999997</v>
      </c>
      <c r="AB56" s="100">
        <v>30819400</v>
      </c>
      <c r="AC56" s="99">
        <v>36.29</v>
      </c>
      <c r="AD56" s="2">
        <f t="shared" si="0"/>
        <v>0.42999999999999972</v>
      </c>
      <c r="AE56" s="137">
        <f t="shared" si="1"/>
        <v>-6.841817186644783E-3</v>
      </c>
    </row>
    <row r="57" spans="1:31" x14ac:dyDescent="0.25">
      <c r="O57" s="82">
        <v>0.94</v>
      </c>
      <c r="P57" s="82">
        <f t="shared" si="4"/>
        <v>33.755399999999995</v>
      </c>
      <c r="T57" s="86" t="s">
        <v>112</v>
      </c>
      <c r="U57" s="87">
        <v>2.12</v>
      </c>
      <c r="V57" s="410"/>
      <c r="W57" s="98">
        <v>42717</v>
      </c>
      <c r="X57" s="102">
        <v>36.01</v>
      </c>
      <c r="Y57" s="102">
        <v>36.89</v>
      </c>
      <c r="Z57" s="102">
        <v>35.93</v>
      </c>
      <c r="AA57" s="102">
        <v>36.799999999999997</v>
      </c>
      <c r="AB57" s="100">
        <v>35773600</v>
      </c>
      <c r="AC57" s="99">
        <v>36.54</v>
      </c>
      <c r="AD57" s="2">
        <f t="shared" si="0"/>
        <v>0.96000000000000085</v>
      </c>
      <c r="AE57" s="137">
        <f t="shared" si="1"/>
        <v>2.2956326987682019E-2</v>
      </c>
    </row>
    <row r="58" spans="1:31" x14ac:dyDescent="0.25">
      <c r="O58" s="82">
        <v>0.93</v>
      </c>
      <c r="P58" s="82">
        <f t="shared" si="4"/>
        <v>33.396299999999997</v>
      </c>
      <c r="T58" s="86" t="s">
        <v>109</v>
      </c>
      <c r="U58" s="87" t="s">
        <v>661</v>
      </c>
      <c r="V58" s="410"/>
      <c r="W58" s="98">
        <v>42716</v>
      </c>
      <c r="X58" s="102">
        <v>35.78</v>
      </c>
      <c r="Y58" s="102">
        <v>36.090000000000003</v>
      </c>
      <c r="Z58" s="102">
        <v>35.67</v>
      </c>
      <c r="AA58" s="102">
        <v>35.97</v>
      </c>
      <c r="AB58" s="100">
        <v>21985800</v>
      </c>
      <c r="AC58" s="99">
        <v>35.72</v>
      </c>
      <c r="AD58" s="2">
        <f t="shared" si="0"/>
        <v>0.42000000000000171</v>
      </c>
      <c r="AE58" s="137">
        <f t="shared" si="1"/>
        <v>5.913827090960222E-3</v>
      </c>
    </row>
    <row r="59" spans="1:31" x14ac:dyDescent="0.25">
      <c r="O59" s="82">
        <v>0.92</v>
      </c>
      <c r="P59" s="82">
        <f t="shared" si="4"/>
        <v>33.037199999999999</v>
      </c>
      <c r="W59" s="98">
        <v>42713</v>
      </c>
      <c r="X59" s="102">
        <v>35.75</v>
      </c>
      <c r="Y59" s="102">
        <v>35.9</v>
      </c>
      <c r="Z59" s="102">
        <v>35.590000000000003</v>
      </c>
      <c r="AA59" s="102">
        <v>35.76</v>
      </c>
      <c r="AB59" s="100">
        <v>16326900</v>
      </c>
      <c r="AC59" s="99">
        <v>35.51</v>
      </c>
      <c r="AD59" s="2">
        <f t="shared" si="0"/>
        <v>0.30999999999999517</v>
      </c>
      <c r="AE59" s="137">
        <f t="shared" si="1"/>
        <v>1.692524682651575E-3</v>
      </c>
    </row>
    <row r="60" spans="1:31" x14ac:dyDescent="0.25">
      <c r="O60" s="82">
        <v>0.91</v>
      </c>
      <c r="P60" s="82">
        <f t="shared" si="4"/>
        <v>32.678100000000001</v>
      </c>
      <c r="W60" s="98">
        <v>42712</v>
      </c>
      <c r="X60" s="102">
        <v>35.479999999999997</v>
      </c>
      <c r="Y60" s="102">
        <v>36.03</v>
      </c>
      <c r="Z60" s="102">
        <v>35.22</v>
      </c>
      <c r="AA60" s="102">
        <v>35.700000000000003</v>
      </c>
      <c r="AB60" s="100">
        <v>19966500</v>
      </c>
      <c r="AC60" s="99">
        <v>35.450000000000003</v>
      </c>
      <c r="AD60" s="2">
        <f t="shared" si="0"/>
        <v>0.81000000000000227</v>
      </c>
      <c r="AE60" s="137">
        <f t="shared" si="1"/>
        <v>5.6737588652482351E-3</v>
      </c>
    </row>
    <row r="61" spans="1:31" x14ac:dyDescent="0.25">
      <c r="O61" s="82">
        <v>0.9</v>
      </c>
      <c r="P61" s="82">
        <f t="shared" si="4"/>
        <v>32.318999999999996</v>
      </c>
      <c r="W61" s="98">
        <v>42711</v>
      </c>
      <c r="X61" s="102">
        <v>34.67</v>
      </c>
      <c r="Y61" s="102">
        <v>35.57</v>
      </c>
      <c r="Z61" s="102">
        <v>34.450000000000003</v>
      </c>
      <c r="AA61" s="102">
        <v>35.5</v>
      </c>
      <c r="AB61" s="100">
        <v>21710300</v>
      </c>
      <c r="AC61" s="99">
        <v>35.25</v>
      </c>
      <c r="AD61" s="2">
        <f t="shared" si="0"/>
        <v>1.1199999999999974</v>
      </c>
      <c r="AE61" s="137">
        <f t="shared" si="1"/>
        <v>2.2628372497824234E-2</v>
      </c>
    </row>
    <row r="62" spans="1:31" x14ac:dyDescent="0.25">
      <c r="W62" s="98">
        <v>42710</v>
      </c>
      <c r="X62" s="102">
        <v>34.39</v>
      </c>
      <c r="Y62" s="102">
        <v>34.75</v>
      </c>
      <c r="Z62" s="102">
        <v>34.299999999999997</v>
      </c>
      <c r="AA62" s="102">
        <v>34.72</v>
      </c>
      <c r="AB62" s="100">
        <v>15297700</v>
      </c>
      <c r="AC62" s="99">
        <v>34.47</v>
      </c>
      <c r="AD62" s="2">
        <f t="shared" si="0"/>
        <v>0.45000000000000284</v>
      </c>
      <c r="AE62" s="137">
        <f t="shared" si="1"/>
        <v>9.3704245973644795E-3</v>
      </c>
    </row>
    <row r="63" spans="1:31" x14ac:dyDescent="0.25">
      <c r="W63" s="98">
        <v>42709</v>
      </c>
      <c r="X63" s="102">
        <v>34.31</v>
      </c>
      <c r="Y63" s="102">
        <v>34.42</v>
      </c>
      <c r="Z63" s="102">
        <v>33.97</v>
      </c>
      <c r="AA63" s="102">
        <v>34.39</v>
      </c>
      <c r="AB63" s="100">
        <v>14462000</v>
      </c>
      <c r="AC63" s="99">
        <v>34.15</v>
      </c>
      <c r="AD63" s="2">
        <f t="shared" si="0"/>
        <v>0.45000000000000284</v>
      </c>
      <c r="AE63" s="137">
        <f t="shared" si="1"/>
        <v>6.7806603773583607E-3</v>
      </c>
    </row>
    <row r="64" spans="1:31" x14ac:dyDescent="0.25">
      <c r="W64" s="98">
        <v>42706</v>
      </c>
      <c r="X64" s="102">
        <v>33.72</v>
      </c>
      <c r="Y64" s="102">
        <v>34.26</v>
      </c>
      <c r="Z64" s="102">
        <v>33.6</v>
      </c>
      <c r="AA64" s="102">
        <v>34.159999999999997</v>
      </c>
      <c r="AB64" s="100">
        <v>21492500</v>
      </c>
      <c r="AC64" s="99">
        <v>33.92</v>
      </c>
      <c r="AD64" s="2">
        <f t="shared" si="0"/>
        <v>0.65999999999999659</v>
      </c>
      <c r="AE64" s="137">
        <f t="shared" si="1"/>
        <v>1.193317422434359E-2</v>
      </c>
    </row>
    <row r="65" spans="23:31" x14ac:dyDescent="0.25">
      <c r="W65" s="98">
        <v>42705</v>
      </c>
      <c r="X65" s="102">
        <v>34.86</v>
      </c>
      <c r="Y65" s="102">
        <v>34.93</v>
      </c>
      <c r="Z65" s="102">
        <v>33.56</v>
      </c>
      <c r="AA65" s="102">
        <v>33.76</v>
      </c>
      <c r="AB65" s="100">
        <v>29618700</v>
      </c>
      <c r="AC65" s="99">
        <v>33.520000000000003</v>
      </c>
      <c r="AD65" s="2">
        <f t="shared" si="0"/>
        <v>1.3699999999999974</v>
      </c>
      <c r="AE65" s="137">
        <f t="shared" si="1"/>
        <v>-2.6995645863570394E-2</v>
      </c>
    </row>
    <row r="66" spans="23:31" x14ac:dyDescent="0.25">
      <c r="W66" s="98">
        <v>42704</v>
      </c>
      <c r="X66" s="102">
        <v>35.200000000000003</v>
      </c>
      <c r="Y66" s="102">
        <v>35.299999999999997</v>
      </c>
      <c r="Z66" s="102">
        <v>34.700000000000003</v>
      </c>
      <c r="AA66" s="102">
        <v>34.700000000000003</v>
      </c>
      <c r="AB66" s="100">
        <v>27016100</v>
      </c>
      <c r="AC66" s="99">
        <v>34.450000000000003</v>
      </c>
      <c r="AD66" s="2">
        <f t="shared" si="0"/>
        <v>0.59999999999999432</v>
      </c>
      <c r="AE66" s="137">
        <f t="shared" si="1"/>
        <v>-1.739874500855676E-2</v>
      </c>
    </row>
    <row r="67" spans="23:31" x14ac:dyDescent="0.25">
      <c r="W67" s="98">
        <v>42703</v>
      </c>
      <c r="X67" s="102">
        <v>35.64</v>
      </c>
      <c r="Y67" s="102">
        <v>35.64</v>
      </c>
      <c r="Z67" s="102">
        <v>35.270000000000003</v>
      </c>
      <c r="AA67" s="102">
        <v>35.31</v>
      </c>
      <c r="AB67" s="100">
        <v>19581000</v>
      </c>
      <c r="AC67" s="99">
        <v>35.06</v>
      </c>
      <c r="AD67" s="2">
        <f>Y67-Z67</f>
        <v>0.36999999999999744</v>
      </c>
      <c r="AE67" s="137" t="e">
        <f>AC67/#REF!-1</f>
        <v>#REF!</v>
      </c>
    </row>
    <row r="68" spans="23:31" x14ac:dyDescent="0.25">
      <c r="W68" s="98">
        <v>42702</v>
      </c>
      <c r="X68" s="102">
        <v>35.43</v>
      </c>
      <c r="Y68" s="102">
        <v>35.659999999999997</v>
      </c>
      <c r="Z68" s="102">
        <v>35.21</v>
      </c>
      <c r="AA68" s="102">
        <v>35.51</v>
      </c>
      <c r="AB68" s="100">
        <v>13549000</v>
      </c>
      <c r="AC68" s="99">
        <v>35.26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71" priority="7">
      <formula>F21&gt;0</formula>
    </cfRule>
    <cfRule type="expression" dxfId="570" priority="8">
      <formula>F21&lt;0</formula>
    </cfRule>
  </conditionalFormatting>
  <conditionalFormatting sqref="F22">
    <cfRule type="expression" dxfId="569" priority="5">
      <formula>F22&gt;0</formula>
    </cfRule>
    <cfRule type="expression" dxfId="568" priority="6">
      <formula>F22&lt;0</formula>
    </cfRule>
  </conditionalFormatting>
  <conditionalFormatting sqref="Q8">
    <cfRule type="expression" dxfId="567" priority="1">
      <formula>Q8&gt;0</formula>
    </cfRule>
    <cfRule type="expression" dxfId="566" priority="2">
      <formula>Q8&lt;0</formula>
    </cfRule>
  </conditionalFormatting>
  <conditionalFormatting sqref="Q7">
    <cfRule type="expression" dxfId="565" priority="3">
      <formula>Q7&gt;0</formula>
    </cfRule>
    <cfRule type="expression" dxfId="5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9"/>
      <c r="E2" s="3"/>
      <c r="F2" s="3"/>
      <c r="G2" s="73"/>
      <c r="H2" s="390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42797</v>
      </c>
      <c r="X2" s="41">
        <v>51.85</v>
      </c>
      <c r="Y2" s="41">
        <v>52.02</v>
      </c>
      <c r="Z2" s="41">
        <v>50.9</v>
      </c>
      <c r="AA2" s="41">
        <v>51.03</v>
      </c>
      <c r="AB2" s="103">
        <v>2890600</v>
      </c>
      <c r="AC2" s="41">
        <v>51.03</v>
      </c>
      <c r="AD2" s="2">
        <f>Y2-Z2</f>
        <v>1.1200000000000045</v>
      </c>
      <c r="AE2" s="137">
        <f>AC2/AC3-1</f>
        <v>-1.4103554868624357E-2</v>
      </c>
    </row>
    <row r="3" spans="1:40" x14ac:dyDescent="0.25">
      <c r="A3" s="23" t="s">
        <v>71</v>
      </c>
      <c r="B3" s="116"/>
      <c r="C3" s="4"/>
      <c r="D3" s="239"/>
      <c r="E3" s="3"/>
      <c r="F3" s="3"/>
      <c r="G3" s="73"/>
      <c r="H3" s="390"/>
      <c r="I3" s="74"/>
      <c r="J3" s="74"/>
      <c r="K3" s="74"/>
      <c r="L3" s="73"/>
      <c r="M3" s="3"/>
      <c r="O3" s="11" t="s">
        <v>58</v>
      </c>
      <c r="Q3" s="79">
        <f>IF(Q2=0, Q4, (F18-K18-M18)/Q2)</f>
        <v>47.42</v>
      </c>
      <c r="W3" s="109">
        <v>42796</v>
      </c>
      <c r="X3" s="41">
        <v>51.25</v>
      </c>
      <c r="Y3" s="41">
        <v>52.2</v>
      </c>
      <c r="Z3" s="41">
        <v>51.23</v>
      </c>
      <c r="AA3" s="41">
        <v>51.76</v>
      </c>
      <c r="AB3" s="103">
        <v>3652100</v>
      </c>
      <c r="AC3" s="41">
        <v>51.76</v>
      </c>
      <c r="AD3" s="2">
        <f t="shared" ref="AD3:AD66" si="0">Y3-Z3</f>
        <v>0.97000000000000597</v>
      </c>
      <c r="AE3" s="137">
        <f t="shared" ref="AE3:AE66" si="1">AC3/AC4-1</f>
        <v>1.9357336430507743E-3</v>
      </c>
      <c r="AK3" s="233"/>
      <c r="AN3" s="233"/>
    </row>
    <row r="4" spans="1:40" x14ac:dyDescent="0.25">
      <c r="B4" s="116"/>
      <c r="C4" s="4"/>
      <c r="D4" s="239"/>
      <c r="E4" s="3"/>
      <c r="F4" s="3"/>
      <c r="G4" s="73"/>
      <c r="H4" s="184"/>
      <c r="I4" s="3"/>
      <c r="J4" s="3"/>
      <c r="K4" s="74"/>
      <c r="L4" s="73"/>
      <c r="M4" s="3"/>
      <c r="O4" s="11" t="s">
        <v>66</v>
      </c>
      <c r="Q4" s="200">
        <v>47.42</v>
      </c>
      <c r="R4" s="499">
        <v>-1.9800000000000002E-2</v>
      </c>
      <c r="T4" s="123"/>
      <c r="U4" s="30"/>
      <c r="V4" s="35"/>
      <c r="W4" s="109">
        <v>42795</v>
      </c>
      <c r="X4" s="41">
        <v>51.9</v>
      </c>
      <c r="Y4" s="41">
        <v>52.3</v>
      </c>
      <c r="Z4" s="41">
        <v>51.28</v>
      </c>
      <c r="AA4" s="41">
        <v>51.66</v>
      </c>
      <c r="AB4" s="103">
        <v>5225300</v>
      </c>
      <c r="AC4" s="41">
        <v>51.66</v>
      </c>
      <c r="AD4" s="2">
        <f t="shared" si="0"/>
        <v>1.019999999999996</v>
      </c>
      <c r="AE4" s="137">
        <f t="shared" si="1"/>
        <v>4.2768273716951022E-3</v>
      </c>
      <c r="AK4" s="233"/>
      <c r="AN4" s="233"/>
    </row>
    <row r="5" spans="1:40" x14ac:dyDescent="0.25">
      <c r="B5" s="108"/>
      <c r="C5" s="4"/>
      <c r="D5" s="239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42794</v>
      </c>
      <c r="X5" s="41">
        <v>52.29</v>
      </c>
      <c r="Y5" s="41">
        <v>52.31</v>
      </c>
      <c r="Z5" s="41">
        <v>51.31</v>
      </c>
      <c r="AA5" s="41">
        <v>51.44</v>
      </c>
      <c r="AB5" s="103">
        <v>4376000</v>
      </c>
      <c r="AC5" s="41">
        <v>51.44</v>
      </c>
      <c r="AD5" s="2">
        <f t="shared" si="0"/>
        <v>1</v>
      </c>
      <c r="AE5" s="137">
        <f t="shared" si="1"/>
        <v>-2.372366672992976E-2</v>
      </c>
      <c r="AK5" s="233"/>
      <c r="AN5" s="233"/>
    </row>
    <row r="6" spans="1:40" x14ac:dyDescent="0.25">
      <c r="B6" s="108"/>
      <c r="C6" s="4"/>
      <c r="D6" s="239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42793</v>
      </c>
      <c r="X6" s="41">
        <v>52.77</v>
      </c>
      <c r="Y6" s="41">
        <v>52.98</v>
      </c>
      <c r="Z6" s="41">
        <v>52.24</v>
      </c>
      <c r="AA6" s="41">
        <v>52.69</v>
      </c>
      <c r="AB6" s="103">
        <v>4037200</v>
      </c>
      <c r="AC6" s="41">
        <v>52.69</v>
      </c>
      <c r="AD6" s="2">
        <f t="shared" si="0"/>
        <v>0.73999999999999488</v>
      </c>
      <c r="AE6" s="137">
        <f t="shared" si="1"/>
        <v>3.810249571346791E-3</v>
      </c>
      <c r="AK6" s="233"/>
      <c r="AN6" s="233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42790</v>
      </c>
      <c r="X7" s="41">
        <v>51.84</v>
      </c>
      <c r="Y7" s="41">
        <v>53.12</v>
      </c>
      <c r="Z7" s="41">
        <v>51.68</v>
      </c>
      <c r="AA7" s="41">
        <v>52.49</v>
      </c>
      <c r="AB7" s="103">
        <v>3084300</v>
      </c>
      <c r="AC7" s="41">
        <v>52.49</v>
      </c>
      <c r="AD7" s="2">
        <f t="shared" si="0"/>
        <v>1.4399999999999977</v>
      </c>
      <c r="AE7" s="137">
        <f t="shared" si="1"/>
        <v>-5.712109672505461E-4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42789</v>
      </c>
      <c r="X8" s="41">
        <v>52.57</v>
      </c>
      <c r="Y8" s="41">
        <v>53.34</v>
      </c>
      <c r="Z8" s="41">
        <v>51.89</v>
      </c>
      <c r="AA8" s="41">
        <v>52.52</v>
      </c>
      <c r="AB8" s="103">
        <v>5008100</v>
      </c>
      <c r="AC8" s="41">
        <v>52.52</v>
      </c>
      <c r="AD8" s="2">
        <f t="shared" si="0"/>
        <v>1.4500000000000028</v>
      </c>
      <c r="AE8" s="137">
        <f t="shared" si="1"/>
        <v>1.8619084561675825E-2</v>
      </c>
    </row>
    <row r="9" spans="1:40" x14ac:dyDescent="0.25">
      <c r="O9" s="11" t="s">
        <v>213</v>
      </c>
      <c r="Q9" s="137">
        <f>IF(Q2=0, 0, Q8/Q6)</f>
        <v>0</v>
      </c>
      <c r="W9" s="109">
        <v>42788</v>
      </c>
      <c r="X9" s="41">
        <v>52.27</v>
      </c>
      <c r="Y9" s="41">
        <v>52.61</v>
      </c>
      <c r="Z9" s="41">
        <v>51.53</v>
      </c>
      <c r="AA9" s="41">
        <v>51.56</v>
      </c>
      <c r="AB9" s="103">
        <v>2923700</v>
      </c>
      <c r="AC9" s="41">
        <v>51.56</v>
      </c>
      <c r="AD9" s="2">
        <f t="shared" si="0"/>
        <v>1.0799999999999983</v>
      </c>
      <c r="AE9" s="137">
        <f t="shared" si="1"/>
        <v>-2.3854600530102243E-2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42787</v>
      </c>
      <c r="X10" s="41">
        <v>52.56</v>
      </c>
      <c r="Y10" s="41">
        <v>53.42</v>
      </c>
      <c r="Z10" s="41">
        <v>52.47</v>
      </c>
      <c r="AA10" s="41">
        <v>52.82</v>
      </c>
      <c r="AB10" s="103">
        <v>4048100</v>
      </c>
      <c r="AC10" s="41">
        <v>52.82</v>
      </c>
      <c r="AD10" s="2">
        <f t="shared" si="0"/>
        <v>0.95000000000000284</v>
      </c>
      <c r="AE10" s="137">
        <f t="shared" si="1"/>
        <v>2.0676328502415409E-2</v>
      </c>
    </row>
    <row r="11" spans="1:40" x14ac:dyDescent="0.25">
      <c r="O11" s="11" t="s">
        <v>178</v>
      </c>
      <c r="P11" s="34"/>
      <c r="Q11" s="137">
        <f>VALUE(TRIM(CLEAN(MID(U58, FIND("(", U58)+1, 5))))</f>
        <v>1.9300000000000001E-2</v>
      </c>
      <c r="T11" s="19"/>
      <c r="W11" s="109">
        <v>42783</v>
      </c>
      <c r="X11" s="41">
        <v>50.99</v>
      </c>
      <c r="Y11" s="41">
        <v>51.86</v>
      </c>
      <c r="Z11" s="41">
        <v>50.8</v>
      </c>
      <c r="AA11" s="41">
        <v>51.75</v>
      </c>
      <c r="AB11" s="103">
        <v>3327200</v>
      </c>
      <c r="AC11" s="41">
        <v>51.75</v>
      </c>
      <c r="AD11" s="2">
        <f t="shared" si="0"/>
        <v>1.0600000000000023</v>
      </c>
      <c r="AE11" s="137">
        <f t="shared" si="1"/>
        <v>8.7719298245614308E-3</v>
      </c>
    </row>
    <row r="12" spans="1:40" x14ac:dyDescent="0.25">
      <c r="T12" s="19"/>
      <c r="W12" s="109">
        <v>42782</v>
      </c>
      <c r="X12" s="41">
        <v>51.4</v>
      </c>
      <c r="Y12" s="41">
        <v>51.62</v>
      </c>
      <c r="Z12" s="41">
        <v>50.86</v>
      </c>
      <c r="AA12" s="41">
        <v>51.3</v>
      </c>
      <c r="AB12" s="103">
        <v>4123400</v>
      </c>
      <c r="AC12" s="41">
        <v>51.3</v>
      </c>
      <c r="AD12" s="2">
        <f t="shared" si="0"/>
        <v>0.75999999999999801</v>
      </c>
      <c r="AE12" s="137">
        <f t="shared" si="1"/>
        <v>4.8971596474045587E-3</v>
      </c>
    </row>
    <row r="13" spans="1:40" x14ac:dyDescent="0.25">
      <c r="W13" s="109">
        <v>42781</v>
      </c>
      <c r="X13" s="41">
        <v>51.9</v>
      </c>
      <c r="Y13" s="41">
        <v>52.13</v>
      </c>
      <c r="Z13" s="41">
        <v>51.02</v>
      </c>
      <c r="AA13" s="41">
        <v>51.05</v>
      </c>
      <c r="AB13" s="103">
        <v>2961200</v>
      </c>
      <c r="AC13" s="41">
        <v>51.05</v>
      </c>
      <c r="AD13" s="2">
        <f t="shared" si="0"/>
        <v>1.1099999999999994</v>
      </c>
      <c r="AE13" s="137">
        <f t="shared" si="1"/>
        <v>-1.8269230769230815E-2</v>
      </c>
    </row>
    <row r="14" spans="1:40" x14ac:dyDescent="0.25">
      <c r="W14" s="109">
        <v>42780</v>
      </c>
      <c r="X14" s="41">
        <v>52.12</v>
      </c>
      <c r="Y14" s="41">
        <v>52.25</v>
      </c>
      <c r="Z14" s="41">
        <v>51.4</v>
      </c>
      <c r="AA14" s="41">
        <v>52</v>
      </c>
      <c r="AB14" s="103">
        <v>2844900</v>
      </c>
      <c r="AC14" s="41">
        <v>52</v>
      </c>
      <c r="AD14" s="2">
        <f t="shared" si="0"/>
        <v>0.85000000000000142</v>
      </c>
      <c r="AE14" s="137">
        <f t="shared" si="1"/>
        <v>2.3130300693907646E-3</v>
      </c>
    </row>
    <row r="15" spans="1:40" x14ac:dyDescent="0.25">
      <c r="W15" s="109">
        <v>42779</v>
      </c>
      <c r="X15" s="41">
        <v>52.17</v>
      </c>
      <c r="Y15" s="41">
        <v>52.29</v>
      </c>
      <c r="Z15" s="41">
        <v>51.72</v>
      </c>
      <c r="AA15" s="41">
        <v>51.88</v>
      </c>
      <c r="AB15" s="103">
        <v>3596600</v>
      </c>
      <c r="AC15" s="41">
        <v>51.88</v>
      </c>
      <c r="AD15" s="2">
        <f t="shared" si="0"/>
        <v>0.57000000000000028</v>
      </c>
      <c r="AE15" s="137">
        <f t="shared" si="1"/>
        <v>-1.1997714721005415E-2</v>
      </c>
    </row>
    <row r="16" spans="1:40" x14ac:dyDescent="0.25">
      <c r="W16" s="109">
        <v>42776</v>
      </c>
      <c r="X16" s="41">
        <v>53.08</v>
      </c>
      <c r="Y16" s="41">
        <v>53.53</v>
      </c>
      <c r="Z16" s="41">
        <v>52.2</v>
      </c>
      <c r="AA16" s="41">
        <v>52.51</v>
      </c>
      <c r="AB16" s="103">
        <v>2995900</v>
      </c>
      <c r="AC16" s="41">
        <v>52.51</v>
      </c>
      <c r="AD16" s="2">
        <f t="shared" si="0"/>
        <v>1.3299999999999983</v>
      </c>
      <c r="AE16" s="137">
        <f t="shared" si="1"/>
        <v>3.6314984709480136E-3</v>
      </c>
    </row>
    <row r="17" spans="1:31" x14ac:dyDescent="0.25">
      <c r="C17" s="4"/>
      <c r="D17" s="239"/>
      <c r="E17" s="3"/>
      <c r="F17" s="3"/>
      <c r="W17" s="109">
        <v>42775</v>
      </c>
      <c r="X17" s="41">
        <v>51.54</v>
      </c>
      <c r="Y17" s="41">
        <v>52.57</v>
      </c>
      <c r="Z17" s="41">
        <v>51.54</v>
      </c>
      <c r="AA17" s="41">
        <v>52.32</v>
      </c>
      <c r="AB17" s="103">
        <v>2511500</v>
      </c>
      <c r="AC17" s="41">
        <v>52.32</v>
      </c>
      <c r="AD17" s="2">
        <f t="shared" si="0"/>
        <v>1.0300000000000011</v>
      </c>
      <c r="AE17" s="137">
        <f t="shared" si="1"/>
        <v>1.5133876600698537E-2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42774</v>
      </c>
      <c r="X18" s="41">
        <v>51.03</v>
      </c>
      <c r="Y18" s="41">
        <v>52.39</v>
      </c>
      <c r="Z18" s="41">
        <v>50.43</v>
      </c>
      <c r="AA18" s="41">
        <v>51.54</v>
      </c>
      <c r="AB18" s="103">
        <v>4880500</v>
      </c>
      <c r="AC18" s="41">
        <v>51.54</v>
      </c>
      <c r="AD18" s="2">
        <f t="shared" si="0"/>
        <v>1.9600000000000009</v>
      </c>
      <c r="AE18" s="137">
        <f t="shared" si="1"/>
        <v>5.8241118229473976E-4</v>
      </c>
    </row>
    <row r="19" spans="1:31" x14ac:dyDescent="0.25">
      <c r="W19" s="109">
        <v>42773</v>
      </c>
      <c r="X19" s="41">
        <v>52.63</v>
      </c>
      <c r="Y19" s="41">
        <v>52.64</v>
      </c>
      <c r="Z19" s="41">
        <v>51.07</v>
      </c>
      <c r="AA19" s="41">
        <v>51.51</v>
      </c>
      <c r="AB19" s="103">
        <v>4937400</v>
      </c>
      <c r="AC19" s="41">
        <v>51.51</v>
      </c>
      <c r="AD19" s="2">
        <f t="shared" si="0"/>
        <v>1.5700000000000003</v>
      </c>
      <c r="AE19" s="137">
        <f t="shared" si="1"/>
        <v>-3.1038374717832884E-2</v>
      </c>
    </row>
    <row r="20" spans="1:31" x14ac:dyDescent="0.25">
      <c r="B20" s="190" t="s">
        <v>114</v>
      </c>
      <c r="C20" s="190" t="s">
        <v>147</v>
      </c>
      <c r="D20" s="198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J20" s="2" t="s">
        <v>124</v>
      </c>
      <c r="W20" s="109">
        <v>42772</v>
      </c>
      <c r="X20" s="41">
        <v>54.39</v>
      </c>
      <c r="Y20" s="41">
        <v>54.48</v>
      </c>
      <c r="Z20" s="41">
        <v>52.66</v>
      </c>
      <c r="AA20" s="41">
        <v>53.16</v>
      </c>
      <c r="AB20" s="103">
        <v>3314400</v>
      </c>
      <c r="AC20" s="41">
        <v>53.16</v>
      </c>
      <c r="AD20" s="2">
        <f t="shared" si="0"/>
        <v>1.8200000000000003</v>
      </c>
      <c r="AE20" s="137">
        <f t="shared" si="1"/>
        <v>-2.1174737617381756E-2</v>
      </c>
    </row>
    <row r="21" spans="1:31" x14ac:dyDescent="0.25">
      <c r="B21" s="192">
        <v>42304</v>
      </c>
      <c r="C21" s="10">
        <v>5</v>
      </c>
      <c r="D21" s="19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0"/>
      <c r="I21" s="194"/>
      <c r="W21" s="109">
        <v>42769</v>
      </c>
      <c r="X21" s="41">
        <v>54</v>
      </c>
      <c r="Y21" s="41">
        <v>54.76</v>
      </c>
      <c r="Z21" s="41">
        <v>53.62</v>
      </c>
      <c r="AA21" s="41">
        <v>54.31</v>
      </c>
      <c r="AB21" s="103">
        <v>3457100</v>
      </c>
      <c r="AC21" s="41">
        <v>54.31</v>
      </c>
      <c r="AD21" s="2">
        <f t="shared" si="0"/>
        <v>1.1400000000000006</v>
      </c>
      <c r="AE21" s="137">
        <f t="shared" si="1"/>
        <v>6.4862861378798264E-3</v>
      </c>
    </row>
    <row r="22" spans="1:31" x14ac:dyDescent="0.25">
      <c r="B22" s="192">
        <v>42305</v>
      </c>
      <c r="C22" s="10">
        <v>125</v>
      </c>
      <c r="D22" s="19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0">
        <f>(E22-D22)/D22</f>
        <v>0.1300990099009901</v>
      </c>
      <c r="I22" s="40"/>
      <c r="U22" s="2"/>
      <c r="W22" s="109">
        <v>42768</v>
      </c>
      <c r="X22" s="41">
        <v>53.7</v>
      </c>
      <c r="Y22" s="41">
        <v>54.29</v>
      </c>
      <c r="Z22" s="41">
        <v>52.94</v>
      </c>
      <c r="AA22" s="41">
        <v>53.96</v>
      </c>
      <c r="AB22" s="103">
        <v>3165700</v>
      </c>
      <c r="AC22" s="41">
        <v>53.96</v>
      </c>
      <c r="AD22" s="2">
        <f t="shared" si="0"/>
        <v>1.3500000000000014</v>
      </c>
      <c r="AE22" s="137">
        <f t="shared" si="1"/>
        <v>8.4096430573725733E-3</v>
      </c>
    </row>
    <row r="23" spans="1:31" x14ac:dyDescent="0.25">
      <c r="B23" s="192">
        <v>42311</v>
      </c>
      <c r="C23" s="10">
        <v>115</v>
      </c>
      <c r="D23" s="19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0">
        <f>(E23-D23)/D23</f>
        <v>0.21013982496730713</v>
      </c>
      <c r="I23" s="40"/>
      <c r="W23" s="109">
        <v>42767</v>
      </c>
      <c r="X23" s="41">
        <v>54.63</v>
      </c>
      <c r="Y23" s="41">
        <v>54.96</v>
      </c>
      <c r="Z23" s="41">
        <v>53.04</v>
      </c>
      <c r="AA23" s="41">
        <v>53.51</v>
      </c>
      <c r="AB23" s="103">
        <v>3987800</v>
      </c>
      <c r="AC23" s="41">
        <v>53.51</v>
      </c>
      <c r="AD23" s="2">
        <f t="shared" si="0"/>
        <v>1.9200000000000017</v>
      </c>
      <c r="AE23" s="137">
        <f t="shared" si="1"/>
        <v>-1.2366186784791511E-2</v>
      </c>
    </row>
    <row r="24" spans="1:31" x14ac:dyDescent="0.25">
      <c r="B24" s="192">
        <v>42332</v>
      </c>
      <c r="C24" s="10">
        <v>40</v>
      </c>
      <c r="D24" s="19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0">
        <f>(E24-D24)/D24</f>
        <v>1.2223831944947483</v>
      </c>
      <c r="I24" s="40"/>
      <c r="W24" s="109">
        <v>42766</v>
      </c>
      <c r="X24" s="41">
        <v>53.9</v>
      </c>
      <c r="Y24" s="41">
        <v>54.21</v>
      </c>
      <c r="Z24" s="41">
        <v>53.13</v>
      </c>
      <c r="AA24" s="41">
        <v>54.18</v>
      </c>
      <c r="AB24" s="103">
        <v>4132000</v>
      </c>
      <c r="AC24" s="41">
        <v>54.18</v>
      </c>
      <c r="AD24" s="2">
        <f t="shared" si="0"/>
        <v>1.0799999999999983</v>
      </c>
      <c r="AE24" s="137">
        <f t="shared" si="1"/>
        <v>4.4493882091212189E-3</v>
      </c>
    </row>
    <row r="25" spans="1:31" x14ac:dyDescent="0.25">
      <c r="B25" s="192">
        <v>42335</v>
      </c>
      <c r="C25" s="10">
        <v>80</v>
      </c>
      <c r="D25" s="19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0">
        <f>(E25-D25)/D25</f>
        <v>0.37083864980860709</v>
      </c>
      <c r="I25" s="194"/>
      <c r="W25" s="109">
        <v>42765</v>
      </c>
      <c r="X25" s="41">
        <v>54.72</v>
      </c>
      <c r="Y25" s="41">
        <v>54.83</v>
      </c>
      <c r="Z25" s="41">
        <v>53</v>
      </c>
      <c r="AA25" s="41">
        <v>53.94</v>
      </c>
      <c r="AB25" s="103">
        <v>5805100</v>
      </c>
      <c r="AC25" s="41">
        <v>53.94</v>
      </c>
      <c r="AD25" s="2">
        <f t="shared" si="0"/>
        <v>1.8299999999999983</v>
      </c>
      <c r="AE25" s="137">
        <f t="shared" si="1"/>
        <v>-1.6949152542372836E-2</v>
      </c>
    </row>
    <row r="26" spans="1:31" x14ac:dyDescent="0.25">
      <c r="B26" s="192">
        <v>42344</v>
      </c>
      <c r="C26" s="10">
        <v>80</v>
      </c>
      <c r="D26" s="19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0">
        <f t="shared" ref="H26:H58" si="4">(E26-D26)/D26</f>
        <v>0.27363414917062989</v>
      </c>
      <c r="I26" s="194"/>
      <c r="W26" s="109">
        <v>42762</v>
      </c>
      <c r="X26" s="41">
        <v>55.83</v>
      </c>
      <c r="Y26" s="41">
        <v>55.96</v>
      </c>
      <c r="Z26" s="41">
        <v>54.51</v>
      </c>
      <c r="AA26" s="41">
        <v>54.87</v>
      </c>
      <c r="AB26" s="103">
        <v>3962200</v>
      </c>
      <c r="AC26" s="41">
        <v>54.87</v>
      </c>
      <c r="AD26" s="2">
        <f t="shared" si="0"/>
        <v>1.4500000000000028</v>
      </c>
      <c r="AE26" s="137">
        <f t="shared" si="1"/>
        <v>-2.3144027060708616E-2</v>
      </c>
    </row>
    <row r="27" spans="1:31" x14ac:dyDescent="0.25">
      <c r="B27" s="192">
        <v>42349</v>
      </c>
      <c r="C27" s="10">
        <v>125</v>
      </c>
      <c r="D27" s="19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0">
        <f t="shared" si="4"/>
        <v>0.10229508196721311</v>
      </c>
      <c r="I27" s="194"/>
      <c r="W27" s="109">
        <v>42761</v>
      </c>
      <c r="X27" s="41">
        <v>56.38</v>
      </c>
      <c r="Y27" s="41">
        <v>57.04</v>
      </c>
      <c r="Z27" s="41">
        <v>55.74</v>
      </c>
      <c r="AA27" s="41">
        <v>56.17</v>
      </c>
      <c r="AB27" s="103">
        <v>3901600</v>
      </c>
      <c r="AC27" s="41">
        <v>56.17</v>
      </c>
      <c r="AD27" s="2">
        <f t="shared" si="0"/>
        <v>1.2999999999999972</v>
      </c>
      <c r="AE27" s="137">
        <f t="shared" si="1"/>
        <v>-5.1363797378675136E-3</v>
      </c>
    </row>
    <row r="28" spans="1:31" x14ac:dyDescent="0.25">
      <c r="B28" s="192">
        <v>42349</v>
      </c>
      <c r="C28" s="10">
        <v>200</v>
      </c>
      <c r="D28" s="19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0">
        <f t="shared" si="4"/>
        <v>6.1684210526315786E-2</v>
      </c>
      <c r="I28" s="194"/>
      <c r="W28" s="109">
        <v>42760</v>
      </c>
      <c r="X28" s="41">
        <v>57.05</v>
      </c>
      <c r="Y28" s="41">
        <v>58.5</v>
      </c>
      <c r="Z28" s="41">
        <v>56.22</v>
      </c>
      <c r="AA28" s="41">
        <v>56.46</v>
      </c>
      <c r="AB28" s="103">
        <v>6197100</v>
      </c>
      <c r="AC28" s="41">
        <v>56.46</v>
      </c>
      <c r="AD28" s="2">
        <f t="shared" si="0"/>
        <v>2.2800000000000011</v>
      </c>
      <c r="AE28" s="137">
        <f t="shared" si="1"/>
        <v>-1.8428372739916599E-2</v>
      </c>
    </row>
    <row r="29" spans="1:31" x14ac:dyDescent="0.25">
      <c r="B29" s="192">
        <v>42349</v>
      </c>
      <c r="C29" s="10">
        <v>700</v>
      </c>
      <c r="D29" s="19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0">
        <f t="shared" si="4"/>
        <v>2.3543738583316348E-2</v>
      </c>
      <c r="I29" s="194"/>
      <c r="W29" s="109">
        <v>42759</v>
      </c>
      <c r="X29" s="41">
        <v>57.72</v>
      </c>
      <c r="Y29" s="41">
        <v>58.04</v>
      </c>
      <c r="Z29" s="41">
        <v>56.65</v>
      </c>
      <c r="AA29" s="41">
        <v>57.52</v>
      </c>
      <c r="AB29" s="103">
        <v>4008900</v>
      </c>
      <c r="AC29" s="41">
        <v>57.52</v>
      </c>
      <c r="AD29" s="2">
        <f t="shared" si="0"/>
        <v>1.3900000000000006</v>
      </c>
      <c r="AE29" s="137">
        <f t="shared" si="1"/>
        <v>6.4741907261594012E-3</v>
      </c>
    </row>
    <row r="30" spans="1:31" x14ac:dyDescent="0.25">
      <c r="B30" s="192">
        <v>42349</v>
      </c>
      <c r="C30" s="10">
        <v>500</v>
      </c>
      <c r="D30" s="19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0">
        <f t="shared" si="4"/>
        <v>3.0866721177432502E-2</v>
      </c>
      <c r="I30" s="194"/>
      <c r="W30" s="109">
        <v>42758</v>
      </c>
      <c r="X30" s="41">
        <v>57.47</v>
      </c>
      <c r="Y30" s="41">
        <v>57.96</v>
      </c>
      <c r="Z30" s="41">
        <v>56.69</v>
      </c>
      <c r="AA30" s="41">
        <v>57.15</v>
      </c>
      <c r="AB30" s="103">
        <v>3023100</v>
      </c>
      <c r="AC30" s="41">
        <v>57.15</v>
      </c>
      <c r="AD30" s="2">
        <f t="shared" si="0"/>
        <v>1.2700000000000031</v>
      </c>
      <c r="AE30" s="137">
        <f t="shared" si="1"/>
        <v>-1.4315281131424551E-2</v>
      </c>
    </row>
    <row r="31" spans="1:31" x14ac:dyDescent="0.25">
      <c r="B31" s="192">
        <v>42349</v>
      </c>
      <c r="C31" s="281">
        <v>400</v>
      </c>
      <c r="D31" s="282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0">
        <f t="shared" si="4"/>
        <v>3.7440855790989512E-2</v>
      </c>
      <c r="I31" s="194"/>
      <c r="W31" s="109">
        <v>42755</v>
      </c>
      <c r="X31" s="196">
        <v>58.71</v>
      </c>
      <c r="Y31" s="41">
        <v>59.08</v>
      </c>
      <c r="Z31" s="41">
        <v>57.54</v>
      </c>
      <c r="AA31" s="41">
        <v>57.98</v>
      </c>
      <c r="AB31" s="103">
        <v>3192300</v>
      </c>
      <c r="AC31" s="41">
        <v>57.98</v>
      </c>
      <c r="AD31" s="2">
        <f t="shared" si="0"/>
        <v>1.5399999999999991</v>
      </c>
      <c r="AE31" s="137">
        <f t="shared" si="1"/>
        <v>4.5045045045044585E-3</v>
      </c>
    </row>
    <row r="32" spans="1:31" x14ac:dyDescent="0.25">
      <c r="B32" s="192">
        <v>42356</v>
      </c>
      <c r="C32" s="10">
        <v>400</v>
      </c>
      <c r="D32" s="19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0">
        <f t="shared" si="4"/>
        <v>1.2137420283892274E-2</v>
      </c>
      <c r="I32" s="194"/>
      <c r="W32" s="109">
        <v>42754</v>
      </c>
      <c r="X32" s="41">
        <v>58.5</v>
      </c>
      <c r="Y32" s="41">
        <v>58.97</v>
      </c>
      <c r="Z32" s="41">
        <v>57.65</v>
      </c>
      <c r="AA32" s="41">
        <v>57.72</v>
      </c>
      <c r="AB32" s="103">
        <v>3166300</v>
      </c>
      <c r="AC32" s="41">
        <v>57.72</v>
      </c>
      <c r="AD32" s="2">
        <f t="shared" si="0"/>
        <v>1.3200000000000003</v>
      </c>
      <c r="AE32" s="137">
        <f t="shared" si="1"/>
        <v>-1.8867924528301883E-2</v>
      </c>
    </row>
    <row r="33" spans="2:31" x14ac:dyDescent="0.25">
      <c r="B33" s="192">
        <v>42359</v>
      </c>
      <c r="C33" s="10">
        <v>1000</v>
      </c>
      <c r="D33" s="19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0">
        <f t="shared" si="4"/>
        <v>-4.1476565740355817E-3</v>
      </c>
      <c r="I33" s="194"/>
      <c r="W33" s="109">
        <v>42753</v>
      </c>
      <c r="X33" s="41">
        <v>58.69</v>
      </c>
      <c r="Y33" s="41">
        <v>59.42</v>
      </c>
      <c r="Z33" s="41">
        <v>58.39</v>
      </c>
      <c r="AA33" s="41">
        <v>58.83</v>
      </c>
      <c r="AB33" s="103">
        <v>2599500</v>
      </c>
      <c r="AC33" s="41">
        <v>58.83</v>
      </c>
      <c r="AD33" s="2">
        <f t="shared" si="0"/>
        <v>1.0300000000000011</v>
      </c>
      <c r="AE33" s="137">
        <f t="shared" si="1"/>
        <v>-7.9258010118044009E-3</v>
      </c>
    </row>
    <row r="34" spans="2:31" x14ac:dyDescent="0.25">
      <c r="B34" s="192">
        <v>42361</v>
      </c>
      <c r="C34" s="10">
        <v>600</v>
      </c>
      <c r="D34" s="19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0">
        <f t="shared" si="4"/>
        <v>8.7957559681697675E-2</v>
      </c>
      <c r="I34" s="194"/>
      <c r="W34" s="109">
        <v>42752</v>
      </c>
      <c r="X34" s="41">
        <v>59.27</v>
      </c>
      <c r="Y34" s="41">
        <v>60.13</v>
      </c>
      <c r="Z34" s="41">
        <v>58.41</v>
      </c>
      <c r="AA34" s="41">
        <v>59.3</v>
      </c>
      <c r="AB34" s="103">
        <v>5680700</v>
      </c>
      <c r="AC34" s="41">
        <v>59.3</v>
      </c>
      <c r="AD34" s="2">
        <f t="shared" si="0"/>
        <v>1.720000000000006</v>
      </c>
      <c r="AE34" s="137">
        <f t="shared" si="1"/>
        <v>6.962132789947395E-3</v>
      </c>
    </row>
    <row r="35" spans="2:31" x14ac:dyDescent="0.25">
      <c r="B35" s="192">
        <v>46026</v>
      </c>
      <c r="C35" s="10">
        <v>600</v>
      </c>
      <c r="D35" s="19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0">
        <f t="shared" si="4"/>
        <v>2.5979557069846653E-2</v>
      </c>
      <c r="I35" s="194"/>
      <c r="W35" s="109">
        <v>42748</v>
      </c>
      <c r="X35" s="41">
        <v>58.4</v>
      </c>
      <c r="Y35" s="41">
        <v>59.87</v>
      </c>
      <c r="Z35" s="41">
        <v>58.25</v>
      </c>
      <c r="AA35" s="41">
        <v>58.89</v>
      </c>
      <c r="AB35" s="103">
        <v>13244300</v>
      </c>
      <c r="AC35" s="41">
        <v>58.89</v>
      </c>
      <c r="AD35" s="2">
        <f t="shared" si="0"/>
        <v>1.6199999999999974</v>
      </c>
      <c r="AE35" s="137">
        <f t="shared" si="1"/>
        <v>6.7969413763813158E-4</v>
      </c>
    </row>
    <row r="36" spans="2:31" x14ac:dyDescent="0.25">
      <c r="B36" s="192">
        <v>42374</v>
      </c>
      <c r="C36" s="281">
        <v>600</v>
      </c>
      <c r="D36" s="282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0">
        <f t="shared" si="4"/>
        <v>2.5230874229530569E-2</v>
      </c>
      <c r="I36" s="194"/>
      <c r="W36" s="109">
        <v>42747</v>
      </c>
      <c r="X36" s="41">
        <v>59.86</v>
      </c>
      <c r="Y36" s="41">
        <v>59.99</v>
      </c>
      <c r="Z36" s="41">
        <v>56.65</v>
      </c>
      <c r="AA36" s="41">
        <v>58.85</v>
      </c>
      <c r="AB36" s="103">
        <v>16722800</v>
      </c>
      <c r="AC36" s="41">
        <v>58.85</v>
      </c>
      <c r="AD36" s="2">
        <f t="shared" si="0"/>
        <v>3.3400000000000034</v>
      </c>
      <c r="AE36" s="137">
        <f t="shared" si="1"/>
        <v>-4.8350582147477339E-2</v>
      </c>
    </row>
    <row r="37" spans="2:31" x14ac:dyDescent="0.25">
      <c r="B37" s="192">
        <v>42375</v>
      </c>
      <c r="C37" s="281">
        <v>750</v>
      </c>
      <c r="D37" s="282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0">
        <f t="shared" si="4"/>
        <v>-3.3869239013933509E-2</v>
      </c>
      <c r="I37" s="194"/>
      <c r="W37" s="109">
        <v>42746</v>
      </c>
      <c r="X37" s="41">
        <v>61.75</v>
      </c>
      <c r="Y37" s="41">
        <v>62.24</v>
      </c>
      <c r="Z37" s="41">
        <v>60.79</v>
      </c>
      <c r="AA37" s="41">
        <v>61.84</v>
      </c>
      <c r="AB37" s="103">
        <v>2052100</v>
      </c>
      <c r="AC37" s="41">
        <v>61.84</v>
      </c>
      <c r="AD37" s="2">
        <f t="shared" si="0"/>
        <v>1.4500000000000028</v>
      </c>
      <c r="AE37" s="137">
        <f t="shared" si="1"/>
        <v>6.3466232709519232E-3</v>
      </c>
    </row>
    <row r="38" spans="2:31" x14ac:dyDescent="0.25">
      <c r="B38" s="192">
        <v>42398</v>
      </c>
      <c r="C38" s="281">
        <v>600</v>
      </c>
      <c r="D38" s="282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1">
        <f t="shared" si="4"/>
        <v>-0.14160948222083597</v>
      </c>
      <c r="I38" s="194"/>
      <c r="W38" s="109">
        <v>42745</v>
      </c>
      <c r="X38" s="41">
        <v>60.82</v>
      </c>
      <c r="Y38" s="41">
        <v>62</v>
      </c>
      <c r="Z38" s="41">
        <v>60.5</v>
      </c>
      <c r="AA38" s="41">
        <v>61.45</v>
      </c>
      <c r="AB38" s="103">
        <v>2238100</v>
      </c>
      <c r="AC38" s="41">
        <v>61.45</v>
      </c>
      <c r="AD38" s="2">
        <f t="shared" si="0"/>
        <v>1.5</v>
      </c>
      <c r="AE38" s="137">
        <f t="shared" si="1"/>
        <v>1.3859099158554766E-2</v>
      </c>
    </row>
    <row r="39" spans="2:31" x14ac:dyDescent="0.25">
      <c r="B39" s="192">
        <v>42402</v>
      </c>
      <c r="C39" s="281">
        <v>750</v>
      </c>
      <c r="D39" s="282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1">
        <f t="shared" si="4"/>
        <v>-0.15110210067722038</v>
      </c>
      <c r="I39" s="194"/>
      <c r="W39" s="109">
        <v>42744</v>
      </c>
      <c r="X39" s="41">
        <v>61.33</v>
      </c>
      <c r="Y39" s="41">
        <v>61.58</v>
      </c>
      <c r="Z39" s="41">
        <v>60.57</v>
      </c>
      <c r="AA39" s="41">
        <v>60.61</v>
      </c>
      <c r="AB39" s="103">
        <v>2456700</v>
      </c>
      <c r="AC39" s="41">
        <v>60.61</v>
      </c>
      <c r="AD39" s="2">
        <f t="shared" si="0"/>
        <v>1.009999999999998</v>
      </c>
      <c r="AE39" s="137">
        <f t="shared" si="1"/>
        <v>-2.084006462035537E-2</v>
      </c>
    </row>
    <row r="40" spans="2:31" x14ac:dyDescent="0.25">
      <c r="B40" s="192">
        <v>42405</v>
      </c>
      <c r="C40" s="281">
        <v>750</v>
      </c>
      <c r="D40" s="282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1">
        <f t="shared" si="4"/>
        <v>-0.17112472496656456</v>
      </c>
      <c r="I40" s="194"/>
      <c r="W40" s="109">
        <v>42741</v>
      </c>
      <c r="X40" s="41">
        <v>62.21</v>
      </c>
      <c r="Y40" s="41">
        <v>62.4</v>
      </c>
      <c r="Z40" s="41">
        <v>61.7</v>
      </c>
      <c r="AA40" s="41">
        <v>61.9</v>
      </c>
      <c r="AB40" s="103">
        <v>1973900</v>
      </c>
      <c r="AC40" s="41">
        <v>61.9</v>
      </c>
      <c r="AD40" s="2">
        <f t="shared" si="0"/>
        <v>0.69999999999999574</v>
      </c>
      <c r="AE40" s="137">
        <f t="shared" si="1"/>
        <v>-3.2206119162641045E-3</v>
      </c>
    </row>
    <row r="41" spans="2:31" x14ac:dyDescent="0.25">
      <c r="B41" s="192">
        <v>42421</v>
      </c>
      <c r="C41" s="281">
        <v>750</v>
      </c>
      <c r="D41" s="282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1">
        <f t="shared" si="4"/>
        <v>-8.7320419345096753E-2</v>
      </c>
      <c r="I41" s="194"/>
      <c r="W41" s="109">
        <v>42740</v>
      </c>
      <c r="X41" s="41">
        <v>62.11</v>
      </c>
      <c r="Y41" s="41">
        <v>62.47</v>
      </c>
      <c r="Z41" s="41">
        <v>60.94</v>
      </c>
      <c r="AA41" s="41">
        <v>62.1</v>
      </c>
      <c r="AB41" s="103">
        <v>3788200</v>
      </c>
      <c r="AC41" s="41">
        <v>62.1</v>
      </c>
      <c r="AD41" s="2">
        <f t="shared" si="0"/>
        <v>1.5300000000000011</v>
      </c>
      <c r="AE41" s="137">
        <f t="shared" si="1"/>
        <v>2.7450347166155797E-3</v>
      </c>
    </row>
    <row r="42" spans="2:31" ht="20.25" thickBot="1" x14ac:dyDescent="0.35">
      <c r="B42" s="192">
        <v>42422</v>
      </c>
      <c r="C42" s="281">
        <v>750</v>
      </c>
      <c r="D42" s="282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1">
        <f t="shared" si="4"/>
        <v>-3.8353682212347355E-2</v>
      </c>
      <c r="I42" s="194"/>
      <c r="T42" s="104" t="s">
        <v>92</v>
      </c>
      <c r="U42" s="34"/>
      <c r="W42" s="109">
        <v>42739</v>
      </c>
      <c r="X42" s="41">
        <v>62.84</v>
      </c>
      <c r="Y42" s="41">
        <v>63.05</v>
      </c>
      <c r="Z42" s="41">
        <v>60.88</v>
      </c>
      <c r="AA42" s="41">
        <v>61.93</v>
      </c>
      <c r="AB42" s="103">
        <v>4988500</v>
      </c>
      <c r="AC42" s="41">
        <v>61.93</v>
      </c>
      <c r="AD42" s="2">
        <f t="shared" si="0"/>
        <v>2.1699999999999946</v>
      </c>
      <c r="AE42" s="137">
        <f t="shared" si="1"/>
        <v>-1.4167462591531343E-2</v>
      </c>
    </row>
    <row r="43" spans="2:31" ht="15.75" thickTop="1" x14ac:dyDescent="0.25">
      <c r="B43" s="192">
        <v>42424</v>
      </c>
      <c r="C43" s="281">
        <v>750</v>
      </c>
      <c r="D43" s="282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1">
        <f t="shared" si="4"/>
        <v>-0.10047888174640826</v>
      </c>
      <c r="I43" s="194"/>
      <c r="T43" s="107" t="s">
        <v>98</v>
      </c>
      <c r="U43" s="105">
        <v>51.76</v>
      </c>
      <c r="W43" s="109">
        <v>42738</v>
      </c>
      <c r="X43" s="41">
        <v>63.38</v>
      </c>
      <c r="Y43" s="41">
        <v>64.400000000000006</v>
      </c>
      <c r="Z43" s="41">
        <v>62.15</v>
      </c>
      <c r="AA43" s="41">
        <v>62.82</v>
      </c>
      <c r="AB43" s="103">
        <v>4515200</v>
      </c>
      <c r="AC43" s="41">
        <v>62.82</v>
      </c>
      <c r="AD43" s="2">
        <f t="shared" si="0"/>
        <v>2.2500000000000071</v>
      </c>
      <c r="AE43" s="137">
        <f t="shared" si="1"/>
        <v>8.5085888585647584E-3</v>
      </c>
    </row>
    <row r="44" spans="2:31" ht="20.25" thickBot="1" x14ac:dyDescent="0.35">
      <c r="B44" s="192">
        <v>42426</v>
      </c>
      <c r="C44" s="281">
        <v>750</v>
      </c>
      <c r="D44" s="282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1">
        <f t="shared" si="4"/>
        <v>-6.9852782454776954E-2</v>
      </c>
      <c r="I44" s="194"/>
      <c r="O44" s="703" t="s">
        <v>78</v>
      </c>
      <c r="P44" s="703"/>
      <c r="T44" s="107" t="s">
        <v>99</v>
      </c>
      <c r="U44" s="105">
        <v>51.85</v>
      </c>
      <c r="W44" s="109">
        <v>42734</v>
      </c>
      <c r="X44" s="41">
        <v>62.9</v>
      </c>
      <c r="Y44" s="41">
        <v>63.28</v>
      </c>
      <c r="Z44" s="41">
        <v>62.07</v>
      </c>
      <c r="AA44" s="41">
        <v>62.29</v>
      </c>
      <c r="AB44" s="103">
        <v>1968300</v>
      </c>
      <c r="AC44" s="41">
        <v>62.29</v>
      </c>
      <c r="AD44" s="2">
        <f t="shared" si="0"/>
        <v>1.2100000000000009</v>
      </c>
      <c r="AE44" s="137">
        <f t="shared" si="1"/>
        <v>-9.6979332273450236E-3</v>
      </c>
    </row>
    <row r="45" spans="2:31" ht="15.75" thickTop="1" x14ac:dyDescent="0.25">
      <c r="B45" s="192">
        <v>42426</v>
      </c>
      <c r="C45" s="281">
        <v>600</v>
      </c>
      <c r="D45" s="282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1">
        <f t="shared" si="4"/>
        <v>-7.9858897530706838E-2</v>
      </c>
      <c r="I45" s="194"/>
      <c r="O45" s="82">
        <v>1.1000000000000001</v>
      </c>
      <c r="P45" s="82">
        <f>O45*$Q$4</f>
        <v>52.162000000000006</v>
      </c>
      <c r="R45" s="34"/>
      <c r="T45" s="107" t="s">
        <v>100</v>
      </c>
      <c r="U45" s="105" t="s">
        <v>129</v>
      </c>
      <c r="W45" s="109">
        <v>42733</v>
      </c>
      <c r="X45" s="41">
        <v>63.61</v>
      </c>
      <c r="Y45" s="41">
        <v>63.75</v>
      </c>
      <c r="Z45" s="41">
        <v>62.42</v>
      </c>
      <c r="AA45" s="41">
        <v>62.9</v>
      </c>
      <c r="AB45" s="103">
        <v>1435800</v>
      </c>
      <c r="AC45" s="41">
        <v>62.9</v>
      </c>
      <c r="AD45" s="2">
        <f t="shared" si="0"/>
        <v>1.3299999999999983</v>
      </c>
      <c r="AE45" s="137">
        <f t="shared" si="1"/>
        <v>-9.1367359798361081E-3</v>
      </c>
    </row>
    <row r="46" spans="2:31" x14ac:dyDescent="0.25">
      <c r="B46" s="192">
        <v>42426</v>
      </c>
      <c r="C46" s="281">
        <v>750</v>
      </c>
      <c r="D46" s="282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1">
        <f t="shared" si="4"/>
        <v>-7.2147106544077896E-2</v>
      </c>
      <c r="I46" s="194"/>
      <c r="O46" s="82">
        <v>1.0900000000000001</v>
      </c>
      <c r="P46" s="82">
        <f t="shared" ref="P46:P65" si="5">O46*$Q$4</f>
        <v>51.687800000000003</v>
      </c>
      <c r="Q46" s="2"/>
      <c r="R46" s="34"/>
      <c r="T46" s="107" t="s">
        <v>101</v>
      </c>
      <c r="U46" s="105" t="s">
        <v>129</v>
      </c>
      <c r="W46" s="109">
        <v>42732</v>
      </c>
      <c r="X46" s="41">
        <v>64.45</v>
      </c>
      <c r="Y46" s="41">
        <v>64.91</v>
      </c>
      <c r="Z46" s="41">
        <v>63.28</v>
      </c>
      <c r="AA46" s="41">
        <v>63.48</v>
      </c>
      <c r="AB46" s="103">
        <v>1490300</v>
      </c>
      <c r="AC46" s="41">
        <v>63.48</v>
      </c>
      <c r="AD46" s="2">
        <f t="shared" si="0"/>
        <v>1.6299999999999955</v>
      </c>
      <c r="AE46" s="137">
        <f t="shared" si="1"/>
        <v>-1.4438751746623235E-2</v>
      </c>
    </row>
    <row r="47" spans="2:31" x14ac:dyDescent="0.25">
      <c r="B47" s="192">
        <v>42430</v>
      </c>
      <c r="C47" s="281">
        <v>750</v>
      </c>
      <c r="D47" s="282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1">
        <f t="shared" si="4"/>
        <v>-4.1427798810167636E-2</v>
      </c>
      <c r="I47" s="194"/>
      <c r="O47" s="82">
        <v>1.08</v>
      </c>
      <c r="P47" s="82">
        <f t="shared" si="5"/>
        <v>51.213600000000007</v>
      </c>
      <c r="Q47" s="2"/>
      <c r="R47" s="34"/>
      <c r="T47" s="107" t="s">
        <v>102</v>
      </c>
      <c r="U47" s="105">
        <v>65.22</v>
      </c>
      <c r="W47" s="109">
        <v>42731</v>
      </c>
      <c r="X47" s="41">
        <v>64.14</v>
      </c>
      <c r="Y47" s="41">
        <v>64.849999999999994</v>
      </c>
      <c r="Z47" s="41">
        <v>63.66</v>
      </c>
      <c r="AA47" s="41">
        <v>64.41</v>
      </c>
      <c r="AB47" s="103">
        <v>1534000</v>
      </c>
      <c r="AC47" s="41">
        <v>64.41</v>
      </c>
      <c r="AD47" s="2">
        <f t="shared" si="0"/>
        <v>1.1899999999999977</v>
      </c>
      <c r="AE47" s="137">
        <f t="shared" si="1"/>
        <v>9.8777046095954724E-3</v>
      </c>
    </row>
    <row r="48" spans="2:31" x14ac:dyDescent="0.25">
      <c r="B48" s="192">
        <v>42431</v>
      </c>
      <c r="C48" s="281">
        <v>450</v>
      </c>
      <c r="D48" s="282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1">
        <f t="shared" si="4"/>
        <v>2.6561064192884929E-2</v>
      </c>
      <c r="I48" s="194"/>
      <c r="O48" s="82">
        <v>1.07</v>
      </c>
      <c r="P48" s="82">
        <f t="shared" si="5"/>
        <v>50.739400000000003</v>
      </c>
      <c r="Q48" s="2"/>
      <c r="R48" s="34"/>
      <c r="T48" s="107" t="s">
        <v>103</v>
      </c>
      <c r="U48" s="105">
        <v>1.5303500000000001</v>
      </c>
      <c r="W48" s="109">
        <v>42727</v>
      </c>
      <c r="X48" s="41">
        <v>63.38</v>
      </c>
      <c r="Y48" s="41">
        <v>64.19</v>
      </c>
      <c r="Z48" s="41">
        <v>63.09</v>
      </c>
      <c r="AA48" s="41">
        <v>63.78</v>
      </c>
      <c r="AB48" s="103">
        <v>2235900</v>
      </c>
      <c r="AC48" s="41">
        <v>63.78</v>
      </c>
      <c r="AD48" s="2">
        <f t="shared" si="0"/>
        <v>1.0999999999999943</v>
      </c>
      <c r="AE48" s="137">
        <f t="shared" si="1"/>
        <v>1.0987286140322627E-3</v>
      </c>
    </row>
    <row r="49" spans="2:31" x14ac:dyDescent="0.25">
      <c r="B49" s="192">
        <v>42433</v>
      </c>
      <c r="C49" s="281">
        <v>400</v>
      </c>
      <c r="D49" s="282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1">
        <f t="shared" si="4"/>
        <v>0.11711911357340712</v>
      </c>
      <c r="I49" s="194"/>
      <c r="O49" s="82">
        <v>1.06</v>
      </c>
      <c r="P49" s="82">
        <f t="shared" si="5"/>
        <v>50.265200000000007</v>
      </c>
      <c r="Q49" s="2"/>
      <c r="R49" s="34"/>
      <c r="T49" s="107" t="s">
        <v>122</v>
      </c>
      <c r="U49" s="105" t="s">
        <v>419</v>
      </c>
      <c r="W49" s="109">
        <v>42726</v>
      </c>
      <c r="X49" s="41">
        <v>63.58</v>
      </c>
      <c r="Y49" s="41">
        <v>63.77</v>
      </c>
      <c r="Z49" s="41">
        <v>62.88</v>
      </c>
      <c r="AA49" s="41">
        <v>63.71</v>
      </c>
      <c r="AB49" s="103">
        <v>1813500</v>
      </c>
      <c r="AC49" s="41">
        <v>63.71</v>
      </c>
      <c r="AD49" s="2">
        <f t="shared" si="0"/>
        <v>0.89000000000000057</v>
      </c>
      <c r="AE49" s="137">
        <f t="shared" si="1"/>
        <v>2.3599748269351739E-3</v>
      </c>
    </row>
    <row r="50" spans="2:31" x14ac:dyDescent="0.25">
      <c r="B50" s="192">
        <v>42433</v>
      </c>
      <c r="C50" s="281">
        <v>450</v>
      </c>
      <c r="D50" s="282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1">
        <f t="shared" si="4"/>
        <v>8.4287155198877362E-2</v>
      </c>
      <c r="I50" s="194"/>
      <c r="O50" s="82">
        <v>1.05</v>
      </c>
      <c r="P50" s="82">
        <f t="shared" si="5"/>
        <v>49.791000000000004</v>
      </c>
      <c r="Q50" s="2"/>
      <c r="R50" s="34"/>
      <c r="T50" s="107"/>
      <c r="U50" s="105"/>
      <c r="W50" s="109">
        <v>42725</v>
      </c>
      <c r="X50" s="41">
        <v>63.97</v>
      </c>
      <c r="Y50" s="41">
        <v>64.489999999999995</v>
      </c>
      <c r="Z50" s="41">
        <v>63.51</v>
      </c>
      <c r="AA50" s="41">
        <v>63.56</v>
      </c>
      <c r="AB50" s="103">
        <v>2246500</v>
      </c>
      <c r="AC50" s="41">
        <v>63.56</v>
      </c>
      <c r="AD50" s="2">
        <f t="shared" si="0"/>
        <v>0.97999999999999687</v>
      </c>
      <c r="AE50" s="137">
        <f t="shared" si="1"/>
        <v>2.6818110112005744E-3</v>
      </c>
    </row>
    <row r="51" spans="2:31" x14ac:dyDescent="0.25">
      <c r="B51" s="192">
        <v>42440</v>
      </c>
      <c r="C51" s="10">
        <v>150</v>
      </c>
      <c r="D51" s="19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1">
        <f t="shared" si="4"/>
        <v>0.40254354437379031</v>
      </c>
      <c r="I51" s="194"/>
      <c r="O51" s="82">
        <v>1.04</v>
      </c>
      <c r="P51" s="82">
        <f t="shared" si="5"/>
        <v>49.316800000000001</v>
      </c>
      <c r="Q51" s="2"/>
      <c r="R51" s="34"/>
      <c r="T51" s="107" t="s">
        <v>105</v>
      </c>
      <c r="U51" s="105" t="s">
        <v>662</v>
      </c>
      <c r="W51" s="109">
        <v>42724</v>
      </c>
      <c r="X51" s="41">
        <v>63.63</v>
      </c>
      <c r="Y51" s="41">
        <v>64.39</v>
      </c>
      <c r="Z51" s="41">
        <v>63.12</v>
      </c>
      <c r="AA51" s="41">
        <v>63.39</v>
      </c>
      <c r="AB51" s="103">
        <v>2434300</v>
      </c>
      <c r="AC51" s="41">
        <v>63.39</v>
      </c>
      <c r="AD51" s="2">
        <f t="shared" si="0"/>
        <v>1.2700000000000031</v>
      </c>
      <c r="AE51" s="137">
        <f t="shared" si="1"/>
        <v>3.156067539846763E-4</v>
      </c>
    </row>
    <row r="52" spans="2:31" x14ac:dyDescent="0.25">
      <c r="B52" s="192">
        <v>42440</v>
      </c>
      <c r="C52" s="10">
        <v>100</v>
      </c>
      <c r="D52" s="19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1">
        <f t="shared" si="4"/>
        <v>0.77830385740147601</v>
      </c>
      <c r="I52" s="194"/>
      <c r="O52" s="82">
        <v>1.03</v>
      </c>
      <c r="P52" s="82">
        <f t="shared" si="5"/>
        <v>48.842600000000004</v>
      </c>
      <c r="Q52" s="2"/>
      <c r="R52" s="34"/>
      <c r="T52" s="107" t="s">
        <v>106</v>
      </c>
      <c r="U52" s="105" t="s">
        <v>562</v>
      </c>
      <c r="W52" s="109">
        <v>42723</v>
      </c>
      <c r="X52" s="41">
        <v>62.25</v>
      </c>
      <c r="Y52" s="41">
        <v>63.66</v>
      </c>
      <c r="Z52" s="41">
        <v>61.61</v>
      </c>
      <c r="AA52" s="41">
        <v>63.37</v>
      </c>
      <c r="AB52" s="103">
        <v>2864100</v>
      </c>
      <c r="AC52" s="41">
        <v>63.37</v>
      </c>
      <c r="AD52" s="2">
        <f t="shared" si="0"/>
        <v>2.0499999999999972</v>
      </c>
      <c r="AE52" s="137">
        <f t="shared" si="1"/>
        <v>1.3919999999999932E-2</v>
      </c>
    </row>
    <row r="53" spans="2:31" x14ac:dyDescent="0.25">
      <c r="B53" s="192">
        <v>42444</v>
      </c>
      <c r="C53" s="10">
        <v>150</v>
      </c>
      <c r="D53" s="19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1">
        <f t="shared" si="4"/>
        <v>0.4246365288505225</v>
      </c>
      <c r="I53" s="194"/>
      <c r="O53" s="82">
        <v>1.02</v>
      </c>
      <c r="P53" s="82">
        <f t="shared" si="5"/>
        <v>48.368400000000001</v>
      </c>
      <c r="Q53" s="2"/>
      <c r="R53" s="34"/>
      <c r="T53" s="107" t="s">
        <v>107</v>
      </c>
      <c r="U53" s="106">
        <v>2894253</v>
      </c>
      <c r="W53" s="109">
        <v>42720</v>
      </c>
      <c r="X53" s="41">
        <v>62.98</v>
      </c>
      <c r="Y53" s="41">
        <v>63.11</v>
      </c>
      <c r="Z53" s="41">
        <v>62.05</v>
      </c>
      <c r="AA53" s="41">
        <v>62.5</v>
      </c>
      <c r="AB53" s="103">
        <v>3908400</v>
      </c>
      <c r="AC53" s="41">
        <v>62.5</v>
      </c>
      <c r="AD53" s="2">
        <f t="shared" si="0"/>
        <v>1.0600000000000023</v>
      </c>
      <c r="AE53" s="137">
        <f t="shared" si="1"/>
        <v>-2.8717294192724951E-3</v>
      </c>
    </row>
    <row r="54" spans="2:31" x14ac:dyDescent="0.25">
      <c r="B54" s="192">
        <v>42445</v>
      </c>
      <c r="C54" s="10">
        <v>130</v>
      </c>
      <c r="D54" s="19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1">
        <f t="shared" si="4"/>
        <v>0.58496682058652638</v>
      </c>
      <c r="I54" s="194"/>
      <c r="O54" s="82">
        <v>1.01</v>
      </c>
      <c r="P54" s="82">
        <f t="shared" si="5"/>
        <v>47.894200000000005</v>
      </c>
      <c r="Q54" s="2"/>
      <c r="R54" s="34"/>
      <c r="T54" s="107" t="s">
        <v>110</v>
      </c>
      <c r="U54" s="106">
        <v>4114640</v>
      </c>
      <c r="W54" s="109">
        <v>42719</v>
      </c>
      <c r="X54" s="41">
        <v>62.18</v>
      </c>
      <c r="Y54" s="41">
        <v>63.71</v>
      </c>
      <c r="Z54" s="41">
        <v>61.75</v>
      </c>
      <c r="AA54" s="41">
        <v>62.68</v>
      </c>
      <c r="AB54" s="103">
        <v>3641100</v>
      </c>
      <c r="AC54" s="41">
        <v>62.68</v>
      </c>
      <c r="AD54" s="2">
        <f t="shared" si="0"/>
        <v>1.9600000000000009</v>
      </c>
      <c r="AE54" s="137" t="e">
        <f t="shared" si="1"/>
        <v>#DIV/0!</v>
      </c>
    </row>
    <row r="55" spans="2:31" x14ac:dyDescent="0.25">
      <c r="B55" s="192">
        <v>42446</v>
      </c>
      <c r="C55" s="10">
        <v>50</v>
      </c>
      <c r="D55" s="19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1"/>
      <c r="I55" s="194"/>
      <c r="O55" s="82">
        <v>1</v>
      </c>
      <c r="P55" s="82">
        <f t="shared" si="5"/>
        <v>47.42</v>
      </c>
      <c r="Q55" s="2"/>
      <c r="R55" s="34"/>
      <c r="T55" s="107" t="s">
        <v>108</v>
      </c>
      <c r="U55" s="105" t="s">
        <v>663</v>
      </c>
      <c r="W55" s="109">
        <v>42719</v>
      </c>
      <c r="X55" s="41" t="s">
        <v>125</v>
      </c>
      <c r="Y55" s="41"/>
      <c r="Z55" s="41"/>
      <c r="AA55" s="41"/>
      <c r="AB55" s="103"/>
      <c r="AC55" s="41"/>
      <c r="AD55" s="2">
        <f t="shared" si="0"/>
        <v>0</v>
      </c>
      <c r="AE55" s="137">
        <f t="shared" si="1"/>
        <v>-1</v>
      </c>
    </row>
    <row r="56" spans="2:31" x14ac:dyDescent="0.25">
      <c r="B56" s="192">
        <v>42452</v>
      </c>
      <c r="C56" s="10">
        <v>100</v>
      </c>
      <c r="D56" s="19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1">
        <f t="shared" si="4"/>
        <v>1.0194113963681903</v>
      </c>
      <c r="I56" s="194"/>
      <c r="O56" s="82">
        <v>0.99</v>
      </c>
      <c r="P56" s="82">
        <f t="shared" si="5"/>
        <v>46.945799999999998</v>
      </c>
      <c r="Q56" s="2"/>
      <c r="R56" s="34"/>
      <c r="T56" s="107" t="s">
        <v>111</v>
      </c>
      <c r="U56" s="105" t="s">
        <v>129</v>
      </c>
      <c r="W56" s="109">
        <v>42718</v>
      </c>
      <c r="X56" s="41">
        <v>64.19</v>
      </c>
      <c r="Y56" s="41">
        <v>65.010000000000005</v>
      </c>
      <c r="Z56" s="41">
        <v>62.8</v>
      </c>
      <c r="AA56" s="41">
        <v>63.17</v>
      </c>
      <c r="AB56" s="103">
        <v>6065500</v>
      </c>
      <c r="AC56" s="41">
        <v>62.92</v>
      </c>
      <c r="AD56" s="2">
        <f t="shared" si="0"/>
        <v>2.210000000000008</v>
      </c>
      <c r="AE56" s="137">
        <f t="shared" si="1"/>
        <v>-3.0209617755856844E-2</v>
      </c>
    </row>
    <row r="57" spans="2:31" x14ac:dyDescent="0.25">
      <c r="B57" s="192">
        <v>42460</v>
      </c>
      <c r="C57" s="10">
        <v>50</v>
      </c>
      <c r="D57" s="19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1"/>
      <c r="I57" s="194"/>
      <c r="O57" s="82">
        <v>0.98</v>
      </c>
      <c r="P57" s="82">
        <f t="shared" si="5"/>
        <v>46.471600000000002</v>
      </c>
      <c r="Q57" s="2"/>
      <c r="R57" s="34"/>
      <c r="T57" s="107" t="s">
        <v>112</v>
      </c>
      <c r="U57" s="105">
        <v>-19.920000000000002</v>
      </c>
      <c r="W57" s="109">
        <v>42717</v>
      </c>
      <c r="X57" s="41">
        <v>63.53</v>
      </c>
      <c r="Y57" s="41">
        <v>65.56</v>
      </c>
      <c r="Z57" s="41">
        <v>62.78</v>
      </c>
      <c r="AA57" s="41">
        <v>65.14</v>
      </c>
      <c r="AB57" s="103">
        <v>6543000</v>
      </c>
      <c r="AC57" s="41">
        <v>64.88</v>
      </c>
      <c r="AD57" s="2">
        <f t="shared" si="0"/>
        <v>2.7800000000000011</v>
      </c>
      <c r="AE57" s="137">
        <f t="shared" si="1"/>
        <v>3.5594573024740672E-2</v>
      </c>
    </row>
    <row r="58" spans="2:31" x14ac:dyDescent="0.25">
      <c r="B58" s="192">
        <v>42464</v>
      </c>
      <c r="C58" s="10">
        <v>100</v>
      </c>
      <c r="D58" s="19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1">
        <f t="shared" si="4"/>
        <v>1.0851379779730232</v>
      </c>
      <c r="I58" s="194"/>
      <c r="O58" s="82">
        <v>0.97</v>
      </c>
      <c r="P58" s="82">
        <f t="shared" si="5"/>
        <v>45.997399999999999</v>
      </c>
      <c r="Q58" s="2"/>
      <c r="R58" s="34"/>
      <c r="T58" s="107" t="s">
        <v>109</v>
      </c>
      <c r="U58" s="105" t="s">
        <v>664</v>
      </c>
      <c r="W58" s="109">
        <v>42716</v>
      </c>
      <c r="X58" s="41">
        <v>64.3</v>
      </c>
      <c r="Y58" s="41">
        <v>64.94</v>
      </c>
      <c r="Z58" s="41">
        <v>62.8</v>
      </c>
      <c r="AA58" s="41">
        <v>62.9</v>
      </c>
      <c r="AB58" s="103">
        <v>5285600</v>
      </c>
      <c r="AC58" s="41">
        <v>62.65</v>
      </c>
      <c r="AD58" s="2">
        <f t="shared" si="0"/>
        <v>2.1400000000000006</v>
      </c>
      <c r="AE58" s="137">
        <f t="shared" si="1"/>
        <v>2.2396416573349232E-3</v>
      </c>
    </row>
    <row r="59" spans="2:31" x14ac:dyDescent="0.25">
      <c r="B59" s="192">
        <v>42466</v>
      </c>
      <c r="C59" s="10">
        <v>50</v>
      </c>
      <c r="D59" s="19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1"/>
      <c r="I59" s="194"/>
      <c r="O59" s="82">
        <v>0.96</v>
      </c>
      <c r="P59" s="82">
        <f t="shared" si="5"/>
        <v>45.523200000000003</v>
      </c>
      <c r="W59" s="109">
        <v>42713</v>
      </c>
      <c r="X59" s="41">
        <v>61.88</v>
      </c>
      <c r="Y59" s="41">
        <v>62.78</v>
      </c>
      <c r="Z59" s="41">
        <v>61.4</v>
      </c>
      <c r="AA59" s="41">
        <v>62.76</v>
      </c>
      <c r="AB59" s="103">
        <v>4400200</v>
      </c>
      <c r="AC59" s="41">
        <v>62.51</v>
      </c>
      <c r="AD59" s="2">
        <f t="shared" si="0"/>
        <v>1.3800000000000026</v>
      </c>
      <c r="AE59" s="137">
        <f t="shared" si="1"/>
        <v>1.7580986488686223E-2</v>
      </c>
    </row>
    <row r="60" spans="2:31" x14ac:dyDescent="0.25">
      <c r="B60" s="192">
        <v>42471</v>
      </c>
      <c r="C60" s="10">
        <v>30</v>
      </c>
      <c r="D60" s="19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1"/>
      <c r="I60" s="194"/>
      <c r="O60" s="82">
        <v>0.95</v>
      </c>
      <c r="P60" s="82">
        <f t="shared" si="5"/>
        <v>45.048999999999999</v>
      </c>
      <c r="W60" s="109">
        <v>42712</v>
      </c>
      <c r="X60" s="41">
        <v>61.79</v>
      </c>
      <c r="Y60" s="41">
        <v>62</v>
      </c>
      <c r="Z60" s="41">
        <v>60.75</v>
      </c>
      <c r="AA60" s="41">
        <v>61.67</v>
      </c>
      <c r="AB60" s="103">
        <v>6004800</v>
      </c>
      <c r="AC60" s="41">
        <v>61.43</v>
      </c>
      <c r="AD60" s="2">
        <f t="shared" si="0"/>
        <v>1.25</v>
      </c>
      <c r="AE60" s="137">
        <f t="shared" si="1"/>
        <v>1.1859660681930562E-2</v>
      </c>
    </row>
    <row r="61" spans="2:31" x14ac:dyDescent="0.25">
      <c r="B61" s="192">
        <v>42478</v>
      </c>
      <c r="C61" s="10">
        <v>10</v>
      </c>
      <c r="D61" s="19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1"/>
      <c r="I61" s="194"/>
      <c r="O61" s="82">
        <v>0.94</v>
      </c>
      <c r="P61" s="82">
        <f t="shared" si="5"/>
        <v>44.574799999999996</v>
      </c>
      <c r="W61" s="109">
        <v>42711</v>
      </c>
      <c r="X61" s="41">
        <v>59.92</v>
      </c>
      <c r="Y61" s="41">
        <v>60.98</v>
      </c>
      <c r="Z61" s="41">
        <v>59.32</v>
      </c>
      <c r="AA61" s="41">
        <v>60.95</v>
      </c>
      <c r="AB61" s="103">
        <v>4707200</v>
      </c>
      <c r="AC61" s="41">
        <v>60.71</v>
      </c>
      <c r="AD61" s="2">
        <f t="shared" si="0"/>
        <v>1.6599999999999966</v>
      </c>
      <c r="AE61" s="137">
        <f t="shared" si="1"/>
        <v>1.9137149571932133E-2</v>
      </c>
    </row>
    <row r="62" spans="2:31" x14ac:dyDescent="0.25">
      <c r="B62" s="192">
        <v>42493</v>
      </c>
      <c r="C62" s="10">
        <v>30</v>
      </c>
      <c r="D62" s="19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1"/>
      <c r="I62" s="194"/>
      <c r="O62" s="82">
        <v>0.93</v>
      </c>
      <c r="P62" s="82">
        <f t="shared" si="5"/>
        <v>44.100600000000007</v>
      </c>
      <c r="W62" s="109">
        <v>42710</v>
      </c>
      <c r="X62" s="41">
        <v>58.36</v>
      </c>
      <c r="Y62" s="41">
        <v>60.6</v>
      </c>
      <c r="Z62" s="41">
        <v>57.83</v>
      </c>
      <c r="AA62" s="41">
        <v>59.81</v>
      </c>
      <c r="AB62" s="103">
        <v>4952900</v>
      </c>
      <c r="AC62" s="41">
        <v>59.57</v>
      </c>
      <c r="AD62" s="2">
        <f t="shared" si="0"/>
        <v>2.7700000000000031</v>
      </c>
      <c r="AE62" s="137">
        <f t="shared" si="1"/>
        <v>1.361238727241787E-2</v>
      </c>
    </row>
    <row r="63" spans="2:31" x14ac:dyDescent="0.25">
      <c r="B63" s="192">
        <v>42501</v>
      </c>
      <c r="C63" s="10">
        <v>0</v>
      </c>
      <c r="D63" s="199"/>
      <c r="E63" s="40"/>
      <c r="F63" s="40">
        <v>3178</v>
      </c>
      <c r="G63" s="40"/>
      <c r="H63" s="231"/>
      <c r="I63" s="194"/>
      <c r="O63" s="82">
        <v>0.92</v>
      </c>
      <c r="P63" s="82">
        <f t="shared" si="5"/>
        <v>43.626400000000004</v>
      </c>
      <c r="W63" s="109">
        <v>42709</v>
      </c>
      <c r="X63" s="41">
        <v>59</v>
      </c>
      <c r="Y63" s="41">
        <v>60.5</v>
      </c>
      <c r="Z63" s="41">
        <v>58.65</v>
      </c>
      <c r="AA63" s="41">
        <v>59</v>
      </c>
      <c r="AB63" s="103">
        <v>7532700</v>
      </c>
      <c r="AC63" s="41">
        <v>58.77</v>
      </c>
      <c r="AD63" s="2">
        <f t="shared" si="0"/>
        <v>1.8500000000000014</v>
      </c>
      <c r="AE63" s="137">
        <f t="shared" si="1"/>
        <v>1.8720748829953227E-2</v>
      </c>
    </row>
    <row r="64" spans="2:31" x14ac:dyDescent="0.25">
      <c r="B64" s="192"/>
      <c r="C64" s="10"/>
      <c r="D64" s="199"/>
      <c r="E64" s="40"/>
      <c r="F64" s="40"/>
      <c r="G64" s="40"/>
      <c r="H64" s="231"/>
      <c r="I64" s="194"/>
      <c r="O64" s="82">
        <v>0.91</v>
      </c>
      <c r="P64" s="82">
        <f t="shared" si="5"/>
        <v>43.152200000000001</v>
      </c>
      <c r="W64" s="109">
        <v>42706</v>
      </c>
      <c r="X64" s="41">
        <v>55.88</v>
      </c>
      <c r="Y64" s="41">
        <v>58.74</v>
      </c>
      <c r="Z64" s="41">
        <v>55.72</v>
      </c>
      <c r="AA64" s="41">
        <v>57.92</v>
      </c>
      <c r="AB64" s="103">
        <v>6113700</v>
      </c>
      <c r="AC64" s="41">
        <v>57.69</v>
      </c>
      <c r="AD64" s="2">
        <f t="shared" si="0"/>
        <v>3.0200000000000031</v>
      </c>
      <c r="AE64" s="137">
        <f t="shared" si="1"/>
        <v>3.2206119162640823E-2</v>
      </c>
    </row>
    <row r="65" spans="1:31" x14ac:dyDescent="0.25">
      <c r="B65" s="192"/>
      <c r="C65" s="10"/>
      <c r="D65" s="199"/>
      <c r="E65" s="40"/>
      <c r="F65" s="40"/>
      <c r="G65" s="40"/>
      <c r="H65" s="231"/>
      <c r="I65" s="194"/>
      <c r="O65" s="82">
        <v>0.9</v>
      </c>
      <c r="P65" s="82">
        <f t="shared" si="5"/>
        <v>42.678000000000004</v>
      </c>
      <c r="W65" s="109">
        <v>42705</v>
      </c>
      <c r="X65" s="41">
        <v>57.79</v>
      </c>
      <c r="Y65" s="41">
        <v>57.9</v>
      </c>
      <c r="Z65" s="41">
        <v>55.72</v>
      </c>
      <c r="AA65" s="41">
        <v>56.11</v>
      </c>
      <c r="AB65" s="103">
        <v>5591300</v>
      </c>
      <c r="AC65" s="41">
        <v>55.89</v>
      </c>
      <c r="AD65" s="2">
        <f t="shared" si="0"/>
        <v>2.1799999999999997</v>
      </c>
      <c r="AE65" s="137">
        <f t="shared" si="1"/>
        <v>2.6910656620020568E-3</v>
      </c>
    </row>
    <row r="66" spans="1:31" x14ac:dyDescent="0.25">
      <c r="B66" s="192"/>
      <c r="C66" s="10"/>
      <c r="D66" s="199"/>
      <c r="E66" s="40"/>
      <c r="F66" s="40"/>
      <c r="G66" s="40"/>
      <c r="H66" s="231"/>
      <c r="I66" s="194"/>
      <c r="W66" s="109">
        <v>42704</v>
      </c>
      <c r="X66" s="41">
        <v>52.76</v>
      </c>
      <c r="Y66" s="41">
        <v>56.93</v>
      </c>
      <c r="Z66" s="41">
        <v>52.76</v>
      </c>
      <c r="AA66" s="41">
        <v>55.96</v>
      </c>
      <c r="AB66" s="103">
        <v>13801700</v>
      </c>
      <c r="AC66" s="41">
        <v>55.74</v>
      </c>
      <c r="AD66" s="2">
        <f t="shared" si="0"/>
        <v>4.1700000000000017</v>
      </c>
      <c r="AE66" s="137">
        <f t="shared" si="1"/>
        <v>0.1408104789193616</v>
      </c>
    </row>
    <row r="67" spans="1:31" x14ac:dyDescent="0.25">
      <c r="B67" s="192"/>
      <c r="C67" s="10"/>
      <c r="D67" s="199"/>
      <c r="E67" s="40"/>
      <c r="F67" s="40"/>
      <c r="G67" s="40"/>
      <c r="H67" s="231"/>
      <c r="I67" s="194"/>
      <c r="W67" s="109">
        <v>42703</v>
      </c>
      <c r="X67" s="41">
        <v>49.7</v>
      </c>
      <c r="Y67" s="41">
        <v>49.81</v>
      </c>
      <c r="Z67" s="41">
        <v>48.52</v>
      </c>
      <c r="AA67" s="41">
        <v>49.05</v>
      </c>
      <c r="AB67" s="103">
        <v>4830600</v>
      </c>
      <c r="AC67" s="41">
        <v>48.86</v>
      </c>
      <c r="AD67" s="2">
        <f>Y67-Z67</f>
        <v>1.2899999999999991</v>
      </c>
      <c r="AE67" s="137">
        <f>AC67/AC68-1</f>
        <v>-3.818897637795271E-2</v>
      </c>
    </row>
    <row r="68" spans="1:31" x14ac:dyDescent="0.25">
      <c r="B68" s="192"/>
      <c r="C68" s="10"/>
      <c r="D68" s="199"/>
      <c r="E68" s="40"/>
      <c r="F68" s="40"/>
      <c r="G68" s="40"/>
      <c r="H68" s="231"/>
      <c r="I68" s="194"/>
      <c r="W68" s="109">
        <v>42702</v>
      </c>
      <c r="X68" s="41">
        <v>53.11</v>
      </c>
      <c r="Y68" s="41">
        <v>53.39</v>
      </c>
      <c r="Z68" s="41">
        <v>50.86</v>
      </c>
      <c r="AA68" s="41">
        <v>51</v>
      </c>
      <c r="AB68" s="103">
        <v>3115300</v>
      </c>
      <c r="AC68" s="41">
        <v>50.8</v>
      </c>
      <c r="AD68" s="2">
        <f>Y68-Z68</f>
        <v>2.5300000000000011</v>
      </c>
      <c r="AE68" s="137" t="e">
        <f>AC68/AC69-1</f>
        <v>#DIV/0!</v>
      </c>
    </row>
    <row r="69" spans="1:31" x14ac:dyDescent="0.25">
      <c r="B69" s="192"/>
      <c r="C69" s="10"/>
      <c r="D69" s="199"/>
      <c r="E69" s="40"/>
      <c r="F69" s="40"/>
      <c r="G69" s="40"/>
      <c r="H69" s="231"/>
      <c r="I69" s="194"/>
      <c r="W69" s="109" t="s">
        <v>121</v>
      </c>
      <c r="X69" s="41"/>
      <c r="Y69" s="41"/>
      <c r="Z69" s="41"/>
      <c r="AA69" s="41"/>
      <c r="AB69" s="103"/>
      <c r="AC69" s="41"/>
      <c r="AD69" s="2">
        <f>Y69-Z69</f>
        <v>0</v>
      </c>
      <c r="AE69" s="137" t="e">
        <f>AC69/AC70-1</f>
        <v>#DIV/0!</v>
      </c>
    </row>
    <row r="70" spans="1:31" x14ac:dyDescent="0.25">
      <c r="B70" s="192"/>
      <c r="C70" s="10"/>
      <c r="D70" s="199"/>
      <c r="E70" s="40"/>
      <c r="F70" s="40"/>
      <c r="G70" s="40"/>
      <c r="H70" s="231"/>
      <c r="I70" s="194"/>
    </row>
    <row r="71" spans="1:31" x14ac:dyDescent="0.25">
      <c r="B71" s="192"/>
      <c r="C71" s="10"/>
      <c r="D71" s="199"/>
      <c r="E71" s="40"/>
      <c r="F71" s="40"/>
      <c r="G71" s="40"/>
      <c r="H71" s="231"/>
      <c r="I71" s="194"/>
    </row>
    <row r="72" spans="1:31" x14ac:dyDescent="0.25">
      <c r="B72" s="192"/>
      <c r="C72" s="10"/>
      <c r="D72" s="199"/>
      <c r="E72" s="40"/>
      <c r="F72" s="40"/>
      <c r="G72" s="40"/>
      <c r="H72" s="231"/>
      <c r="I72" s="194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1" t="s">
        <v>1</v>
      </c>
      <c r="B76" s="392" t="s">
        <v>2</v>
      </c>
      <c r="C76" s="391" t="s">
        <v>4</v>
      </c>
      <c r="D76" s="393" t="s">
        <v>5</v>
      </c>
      <c r="E76" s="394" t="s">
        <v>90</v>
      </c>
      <c r="F76" s="394" t="s">
        <v>60</v>
      </c>
      <c r="G76" s="391" t="s">
        <v>3</v>
      </c>
      <c r="H76" s="395" t="s">
        <v>6</v>
      </c>
      <c r="I76" s="394" t="s">
        <v>7</v>
      </c>
      <c r="J76" s="394" t="s">
        <v>89</v>
      </c>
      <c r="K76" s="394" t="s">
        <v>61</v>
      </c>
      <c r="L76" s="391" t="s">
        <v>43</v>
      </c>
      <c r="M76" s="391" t="s">
        <v>38</v>
      </c>
    </row>
    <row r="77" spans="1:31" x14ac:dyDescent="0.25">
      <c r="A77" s="387" t="s">
        <v>22</v>
      </c>
      <c r="B77" s="396">
        <v>42153</v>
      </c>
      <c r="C77" s="378">
        <v>20</v>
      </c>
      <c r="D77" s="383">
        <v>67.3</v>
      </c>
      <c r="E77" s="379">
        <v>0</v>
      </c>
      <c r="F77" s="379">
        <f t="shared" ref="F77:F126" si="6">D77*C77+E77</f>
        <v>1346</v>
      </c>
      <c r="G77" s="377">
        <v>42219</v>
      </c>
      <c r="H77" s="397">
        <v>25</v>
      </c>
      <c r="I77" s="398">
        <v>60.05</v>
      </c>
      <c r="J77" s="398">
        <v>0.03</v>
      </c>
      <c r="K77" s="398">
        <f t="shared" ref="K77:K112" si="7">H77*I77-J77</f>
        <v>1501.22</v>
      </c>
      <c r="L77" s="377">
        <v>42185</v>
      </c>
      <c r="M77" s="379">
        <v>5</v>
      </c>
    </row>
    <row r="78" spans="1:31" x14ac:dyDescent="0.25">
      <c r="A78" s="388" t="s">
        <v>71</v>
      </c>
      <c r="B78" s="396">
        <v>42205</v>
      </c>
      <c r="C78" s="378">
        <v>20</v>
      </c>
      <c r="D78" s="383">
        <v>63.4</v>
      </c>
      <c r="E78" s="379">
        <v>0</v>
      </c>
      <c r="F78" s="379">
        <f t="shared" si="6"/>
        <v>1268</v>
      </c>
      <c r="G78" s="377">
        <v>42219</v>
      </c>
      <c r="H78" s="397">
        <v>55</v>
      </c>
      <c r="I78" s="398">
        <v>59.75</v>
      </c>
      <c r="J78" s="398">
        <v>0.06</v>
      </c>
      <c r="K78" s="398">
        <f t="shared" si="7"/>
        <v>3286.19</v>
      </c>
      <c r="L78" s="377">
        <v>42277</v>
      </c>
      <c r="M78" s="379">
        <v>37.5</v>
      </c>
    </row>
    <row r="79" spans="1:31" x14ac:dyDescent="0.25">
      <c r="A79" s="378"/>
      <c r="B79" s="396">
        <v>42205</v>
      </c>
      <c r="C79" s="378">
        <v>20</v>
      </c>
      <c r="D79" s="383">
        <v>63.15</v>
      </c>
      <c r="E79" s="379">
        <v>0</v>
      </c>
      <c r="F79" s="379">
        <f t="shared" si="6"/>
        <v>1263</v>
      </c>
      <c r="G79" s="377">
        <v>42250</v>
      </c>
      <c r="H79" s="382">
        <v>100</v>
      </c>
      <c r="I79" s="379">
        <v>59.4</v>
      </c>
      <c r="J79" s="379">
        <v>0.11</v>
      </c>
      <c r="K79" s="398">
        <f t="shared" si="7"/>
        <v>5939.89</v>
      </c>
      <c r="L79" s="377">
        <v>42734</v>
      </c>
      <c r="M79" s="379">
        <v>100</v>
      </c>
    </row>
    <row r="80" spans="1:31" x14ac:dyDescent="0.25">
      <c r="A80" s="378"/>
      <c r="B80" s="396">
        <v>42207</v>
      </c>
      <c r="C80" s="378">
        <v>10</v>
      </c>
      <c r="D80" s="383">
        <v>62</v>
      </c>
      <c r="E80" s="379">
        <v>0</v>
      </c>
      <c r="F80" s="379">
        <f t="shared" si="6"/>
        <v>620</v>
      </c>
      <c r="G80" s="377">
        <v>42258</v>
      </c>
      <c r="H80" s="382">
        <v>80</v>
      </c>
      <c r="I80" s="379">
        <v>56.47</v>
      </c>
      <c r="J80" s="379">
        <v>0.08</v>
      </c>
      <c r="K80" s="398">
        <f t="shared" si="7"/>
        <v>4517.5200000000004</v>
      </c>
      <c r="L80" s="377">
        <v>42459</v>
      </c>
      <c r="M80" s="379">
        <v>25</v>
      </c>
    </row>
    <row r="81" spans="1:13" x14ac:dyDescent="0.25">
      <c r="A81" s="378"/>
      <c r="B81" s="396">
        <v>42207</v>
      </c>
      <c r="C81" s="378">
        <v>5</v>
      </c>
      <c r="D81" s="383">
        <v>61.6</v>
      </c>
      <c r="E81" s="379">
        <v>0</v>
      </c>
      <c r="F81" s="379">
        <f t="shared" si="6"/>
        <v>308</v>
      </c>
      <c r="G81" s="377">
        <v>42263</v>
      </c>
      <c r="H81" s="382">
        <v>80</v>
      </c>
      <c r="I81" s="379">
        <v>52.55</v>
      </c>
      <c r="J81" s="379">
        <v>0.08</v>
      </c>
      <c r="K81" s="398">
        <f t="shared" si="7"/>
        <v>4203.92</v>
      </c>
      <c r="L81" s="378"/>
      <c r="M81" s="379"/>
    </row>
    <row r="82" spans="1:13" x14ac:dyDescent="0.25">
      <c r="A82" s="378"/>
      <c r="B82" s="396">
        <v>42207</v>
      </c>
      <c r="C82" s="378">
        <v>20</v>
      </c>
      <c r="D82" s="383">
        <v>59.85</v>
      </c>
      <c r="E82" s="379">
        <v>0</v>
      </c>
      <c r="F82" s="379">
        <f t="shared" si="6"/>
        <v>1197</v>
      </c>
      <c r="G82" s="377">
        <v>42284</v>
      </c>
      <c r="H82" s="382">
        <v>50</v>
      </c>
      <c r="I82" s="379">
        <v>52.85</v>
      </c>
      <c r="J82" s="379">
        <v>0.05</v>
      </c>
      <c r="K82" s="398">
        <f t="shared" si="7"/>
        <v>2642.45</v>
      </c>
      <c r="L82" s="378"/>
      <c r="M82" s="379"/>
    </row>
    <row r="83" spans="1:13" x14ac:dyDescent="0.25">
      <c r="A83" s="378"/>
      <c r="B83" s="396">
        <v>42208</v>
      </c>
      <c r="C83" s="378">
        <v>5</v>
      </c>
      <c r="D83" s="383">
        <v>61.3</v>
      </c>
      <c r="E83" s="379">
        <v>0</v>
      </c>
      <c r="F83" s="379">
        <f t="shared" si="6"/>
        <v>306.5</v>
      </c>
      <c r="G83" s="377">
        <v>42284</v>
      </c>
      <c r="H83" s="382">
        <v>30</v>
      </c>
      <c r="I83" s="379">
        <v>53.05</v>
      </c>
      <c r="J83" s="379">
        <v>0.03</v>
      </c>
      <c r="K83" s="398">
        <f t="shared" si="7"/>
        <v>1591.47</v>
      </c>
      <c r="L83" s="378"/>
      <c r="M83" s="379"/>
    </row>
    <row r="84" spans="1:13" x14ac:dyDescent="0.25">
      <c r="A84" s="378"/>
      <c r="B84" s="396">
        <v>42219</v>
      </c>
      <c r="C84" s="399">
        <v>25</v>
      </c>
      <c r="D84" s="383">
        <v>59.4</v>
      </c>
      <c r="E84" s="379">
        <v>0</v>
      </c>
      <c r="F84" s="379">
        <f t="shared" si="6"/>
        <v>1485</v>
      </c>
      <c r="G84" s="377">
        <v>42291</v>
      </c>
      <c r="H84" s="382">
        <v>80</v>
      </c>
      <c r="I84" s="379">
        <v>61.6</v>
      </c>
      <c r="J84" s="379">
        <v>0.09</v>
      </c>
      <c r="K84" s="398">
        <f t="shared" si="7"/>
        <v>4927.91</v>
      </c>
      <c r="L84" s="378"/>
      <c r="M84" s="379"/>
    </row>
    <row r="85" spans="1:13" x14ac:dyDescent="0.25">
      <c r="A85" s="378"/>
      <c r="B85" s="396">
        <v>42219</v>
      </c>
      <c r="C85" s="399">
        <v>50</v>
      </c>
      <c r="D85" s="383">
        <v>59.2</v>
      </c>
      <c r="E85" s="379">
        <v>0</v>
      </c>
      <c r="F85" s="379">
        <f t="shared" si="6"/>
        <v>2960</v>
      </c>
      <c r="G85" s="377">
        <v>42297</v>
      </c>
      <c r="H85" s="382">
        <v>115</v>
      </c>
      <c r="I85" s="379">
        <v>61.23</v>
      </c>
      <c r="J85" s="379">
        <v>0.13</v>
      </c>
      <c r="K85" s="398">
        <f t="shared" si="7"/>
        <v>7041.32</v>
      </c>
      <c r="L85" s="378"/>
      <c r="M85" s="379"/>
    </row>
    <row r="86" spans="1:13" x14ac:dyDescent="0.25">
      <c r="A86" s="378"/>
      <c r="B86" s="396">
        <v>42226</v>
      </c>
      <c r="C86" s="399">
        <v>5</v>
      </c>
      <c r="D86" s="383">
        <v>56.2</v>
      </c>
      <c r="E86" s="379">
        <v>0</v>
      </c>
      <c r="F86" s="379">
        <f t="shared" si="6"/>
        <v>281</v>
      </c>
      <c r="G86" s="377">
        <v>42304</v>
      </c>
      <c r="H86" s="382">
        <v>80</v>
      </c>
      <c r="I86" s="379">
        <v>59.76</v>
      </c>
      <c r="J86" s="379">
        <v>0.09</v>
      </c>
      <c r="K86" s="398">
        <f t="shared" si="7"/>
        <v>4780.71</v>
      </c>
      <c r="L86" s="378"/>
      <c r="M86" s="379"/>
    </row>
    <row r="87" spans="1:13" x14ac:dyDescent="0.25">
      <c r="A87" s="378"/>
      <c r="B87" s="396">
        <v>42226</v>
      </c>
      <c r="C87" s="378">
        <v>15</v>
      </c>
      <c r="D87" s="383">
        <v>56.5</v>
      </c>
      <c r="E87" s="379">
        <v>0</v>
      </c>
      <c r="F87" s="379">
        <f t="shared" si="6"/>
        <v>847.5</v>
      </c>
      <c r="G87" s="377">
        <v>42314</v>
      </c>
      <c r="H87" s="382">
        <v>10</v>
      </c>
      <c r="I87" s="379">
        <v>59.65</v>
      </c>
      <c r="J87" s="379">
        <v>0.01</v>
      </c>
      <c r="K87" s="398">
        <f t="shared" si="7"/>
        <v>596.49</v>
      </c>
      <c r="L87" s="378"/>
      <c r="M87" s="379"/>
    </row>
    <row r="88" spans="1:13" x14ac:dyDescent="0.25">
      <c r="A88" s="378"/>
      <c r="B88" s="396">
        <v>42240</v>
      </c>
      <c r="C88" s="399">
        <v>15</v>
      </c>
      <c r="D88" s="383">
        <v>57.19</v>
      </c>
      <c r="E88" s="379">
        <v>0</v>
      </c>
      <c r="F88" s="379">
        <f t="shared" si="6"/>
        <v>857.84999999999991</v>
      </c>
      <c r="G88" s="377">
        <v>42338</v>
      </c>
      <c r="H88" s="382">
        <v>75</v>
      </c>
      <c r="I88" s="379">
        <v>61.49</v>
      </c>
      <c r="J88" s="379">
        <v>0.08</v>
      </c>
      <c r="K88" s="379">
        <f t="shared" si="7"/>
        <v>4611.67</v>
      </c>
      <c r="L88" s="378"/>
      <c r="M88" s="379"/>
    </row>
    <row r="89" spans="1:13" x14ac:dyDescent="0.25">
      <c r="A89" s="378"/>
      <c r="B89" s="396">
        <v>42240</v>
      </c>
      <c r="C89" s="378">
        <v>20</v>
      </c>
      <c r="D89" s="383">
        <v>56.6</v>
      </c>
      <c r="E89" s="379">
        <v>0</v>
      </c>
      <c r="F89" s="379">
        <f t="shared" si="6"/>
        <v>1132</v>
      </c>
      <c r="G89" s="377">
        <v>42354</v>
      </c>
      <c r="H89" s="382">
        <v>100</v>
      </c>
      <c r="I89" s="379">
        <v>50.1</v>
      </c>
      <c r="J89" s="379">
        <v>0.09</v>
      </c>
      <c r="K89" s="379">
        <f t="shared" si="7"/>
        <v>5009.91</v>
      </c>
      <c r="L89" s="378"/>
      <c r="M89" s="379"/>
    </row>
    <row r="90" spans="1:13" x14ac:dyDescent="0.25">
      <c r="A90" s="378"/>
      <c r="B90" s="396">
        <v>42240</v>
      </c>
      <c r="C90" s="378">
        <v>30</v>
      </c>
      <c r="D90" s="383">
        <v>56.5</v>
      </c>
      <c r="E90" s="379">
        <v>0</v>
      </c>
      <c r="F90" s="379">
        <f t="shared" si="6"/>
        <v>1695</v>
      </c>
      <c r="G90" s="377">
        <v>42354</v>
      </c>
      <c r="H90" s="382">
        <v>200</v>
      </c>
      <c r="I90" s="379">
        <v>50.15</v>
      </c>
      <c r="J90" s="379">
        <v>0.18</v>
      </c>
      <c r="K90" s="379">
        <f t="shared" si="7"/>
        <v>10029.82</v>
      </c>
      <c r="L90" s="378"/>
      <c r="M90" s="379"/>
    </row>
    <row r="91" spans="1:13" ht="15" customHeight="1" x14ac:dyDescent="0.25">
      <c r="A91" s="378"/>
      <c r="B91" s="403">
        <v>42258</v>
      </c>
      <c r="C91" s="378">
        <v>80</v>
      </c>
      <c r="D91" s="383">
        <v>55.45</v>
      </c>
      <c r="E91" s="379">
        <v>0</v>
      </c>
      <c r="F91" s="379">
        <f t="shared" si="6"/>
        <v>4436</v>
      </c>
      <c r="G91" s="377">
        <v>42354</v>
      </c>
      <c r="H91" s="382">
        <v>100</v>
      </c>
      <c r="I91" s="379">
        <v>50.15</v>
      </c>
      <c r="J91" s="379">
        <v>0.09</v>
      </c>
      <c r="K91" s="379">
        <f t="shared" si="7"/>
        <v>5014.91</v>
      </c>
      <c r="L91" s="378"/>
      <c r="M91" s="379"/>
    </row>
    <row r="92" spans="1:13" x14ac:dyDescent="0.25">
      <c r="A92" s="378"/>
      <c r="B92" s="403"/>
      <c r="C92" s="378">
        <v>20</v>
      </c>
      <c r="D92" s="383">
        <v>55.45</v>
      </c>
      <c r="E92" s="379">
        <v>0</v>
      </c>
      <c r="F92" s="379">
        <f t="shared" si="6"/>
        <v>1109</v>
      </c>
      <c r="G92" s="377">
        <v>42367</v>
      </c>
      <c r="H92" s="382">
        <v>400</v>
      </c>
      <c r="I92" s="379">
        <v>49.86</v>
      </c>
      <c r="J92" s="379">
        <v>0.37</v>
      </c>
      <c r="K92" s="379">
        <f t="shared" si="7"/>
        <v>19943.63</v>
      </c>
      <c r="L92" s="378"/>
      <c r="M92" s="379"/>
    </row>
    <row r="93" spans="1:13" x14ac:dyDescent="0.25">
      <c r="A93" s="378"/>
      <c r="B93" s="404">
        <v>42263</v>
      </c>
      <c r="C93" s="378">
        <v>50</v>
      </c>
      <c r="D93" s="383">
        <v>52.7</v>
      </c>
      <c r="E93" s="379">
        <v>0</v>
      </c>
      <c r="F93" s="379">
        <f t="shared" si="6"/>
        <v>2635</v>
      </c>
      <c r="G93" s="377">
        <v>42375</v>
      </c>
      <c r="H93" s="382">
        <v>100</v>
      </c>
      <c r="I93" s="379">
        <v>47.56</v>
      </c>
      <c r="J93" s="379">
        <v>0.09</v>
      </c>
      <c r="K93" s="379">
        <f t="shared" si="7"/>
        <v>4755.91</v>
      </c>
      <c r="L93" s="378"/>
      <c r="M93" s="378"/>
    </row>
    <row r="94" spans="1:13" x14ac:dyDescent="0.25">
      <c r="A94" s="378"/>
      <c r="B94" s="404"/>
      <c r="C94" s="378">
        <v>30</v>
      </c>
      <c r="D94" s="383">
        <v>52.7</v>
      </c>
      <c r="E94" s="379">
        <v>0</v>
      </c>
      <c r="F94" s="379">
        <f t="shared" si="6"/>
        <v>1581</v>
      </c>
      <c r="G94" s="377">
        <v>42398</v>
      </c>
      <c r="H94" s="382">
        <v>150</v>
      </c>
      <c r="I94" s="379">
        <v>40.880000000000003</v>
      </c>
      <c r="J94" s="379">
        <v>0.11</v>
      </c>
      <c r="K94" s="379">
        <f t="shared" si="7"/>
        <v>6131.89</v>
      </c>
      <c r="L94" s="378"/>
      <c r="M94" s="378"/>
    </row>
    <row r="95" spans="1:13" x14ac:dyDescent="0.25">
      <c r="A95" s="378"/>
      <c r="B95" s="396">
        <v>42263</v>
      </c>
      <c r="C95" s="378">
        <v>50</v>
      </c>
      <c r="D95" s="383">
        <v>52.05</v>
      </c>
      <c r="E95" s="379">
        <v>0</v>
      </c>
      <c r="F95" s="379">
        <f t="shared" si="6"/>
        <v>2602.5</v>
      </c>
      <c r="G95" s="377">
        <v>42405</v>
      </c>
      <c r="H95" s="382">
        <v>100</v>
      </c>
      <c r="I95" s="379">
        <v>38.445</v>
      </c>
      <c r="J95" s="379">
        <v>7.0000000000000007E-2</v>
      </c>
      <c r="K95" s="379">
        <f t="shared" si="7"/>
        <v>3844.43</v>
      </c>
      <c r="L95" s="378"/>
      <c r="M95" s="378"/>
    </row>
    <row r="96" spans="1:13" x14ac:dyDescent="0.25">
      <c r="A96" s="378"/>
      <c r="B96" s="404">
        <v>42270</v>
      </c>
      <c r="C96" s="378">
        <v>30</v>
      </c>
      <c r="D96" s="383">
        <v>52.5</v>
      </c>
      <c r="E96" s="379">
        <v>0</v>
      </c>
      <c r="F96" s="379">
        <f t="shared" si="6"/>
        <v>1575</v>
      </c>
      <c r="G96" s="377">
        <v>42426</v>
      </c>
      <c r="H96" s="382">
        <v>150</v>
      </c>
      <c r="I96" s="379">
        <v>43.25</v>
      </c>
      <c r="J96" s="379">
        <v>0.14000000000000001</v>
      </c>
      <c r="K96" s="379">
        <f t="shared" si="7"/>
        <v>6487.36</v>
      </c>
      <c r="L96" s="378"/>
      <c r="M96" s="378"/>
    </row>
    <row r="97" spans="1:13" x14ac:dyDescent="0.25">
      <c r="A97" s="378"/>
      <c r="B97" s="404"/>
      <c r="C97" s="378">
        <v>20</v>
      </c>
      <c r="D97" s="383">
        <v>52.5</v>
      </c>
      <c r="E97" s="379">
        <v>0</v>
      </c>
      <c r="F97" s="379">
        <f t="shared" si="6"/>
        <v>1050</v>
      </c>
      <c r="G97" s="377">
        <v>42426</v>
      </c>
      <c r="H97" s="382">
        <v>150</v>
      </c>
      <c r="I97" s="379">
        <v>43.4</v>
      </c>
      <c r="J97" s="379">
        <v>0.14000000000000001</v>
      </c>
      <c r="K97" s="379">
        <f t="shared" si="7"/>
        <v>6509.86</v>
      </c>
      <c r="L97" s="378"/>
      <c r="M97" s="378"/>
    </row>
    <row r="98" spans="1:13" x14ac:dyDescent="0.25">
      <c r="A98" s="378"/>
      <c r="B98" s="396">
        <v>42292</v>
      </c>
      <c r="C98" s="378">
        <v>80</v>
      </c>
      <c r="D98" s="383">
        <v>61.25</v>
      </c>
      <c r="E98" s="379">
        <v>0</v>
      </c>
      <c r="F98" s="379">
        <f t="shared" si="6"/>
        <v>4900</v>
      </c>
      <c r="G98" s="377">
        <v>42431</v>
      </c>
      <c r="H98" s="382">
        <v>150</v>
      </c>
      <c r="I98" s="379">
        <v>45.95</v>
      </c>
      <c r="J98" s="379">
        <v>0.15</v>
      </c>
      <c r="K98" s="379">
        <f t="shared" si="7"/>
        <v>6892.35</v>
      </c>
      <c r="L98" s="378"/>
      <c r="M98" s="378"/>
    </row>
    <row r="99" spans="1:13" x14ac:dyDescent="0.25">
      <c r="A99" s="378"/>
      <c r="B99" s="396">
        <v>42292</v>
      </c>
      <c r="C99" s="378">
        <v>80</v>
      </c>
      <c r="D99" s="383">
        <v>59.75</v>
      </c>
      <c r="E99" s="379">
        <v>0</v>
      </c>
      <c r="F99" s="379">
        <f t="shared" si="6"/>
        <v>4780</v>
      </c>
      <c r="G99" s="377">
        <v>42431</v>
      </c>
      <c r="H99" s="382">
        <v>150</v>
      </c>
      <c r="I99" s="379">
        <v>45.5</v>
      </c>
      <c r="J99" s="379">
        <v>0.15</v>
      </c>
      <c r="K99" s="379">
        <f t="shared" si="7"/>
        <v>6824.85</v>
      </c>
      <c r="L99" s="378"/>
      <c r="M99" s="378"/>
    </row>
    <row r="100" spans="1:13" x14ac:dyDescent="0.25">
      <c r="A100" s="378"/>
      <c r="B100" s="396">
        <v>42310</v>
      </c>
      <c r="C100" s="378">
        <v>80</v>
      </c>
      <c r="D100" s="383">
        <v>55.225000000000001</v>
      </c>
      <c r="E100" s="379">
        <v>6.95</v>
      </c>
      <c r="F100" s="379">
        <f t="shared" si="6"/>
        <v>4424.95</v>
      </c>
      <c r="G100" s="377">
        <v>42431</v>
      </c>
      <c r="H100" s="382">
        <v>150</v>
      </c>
      <c r="I100" s="379">
        <v>46.4</v>
      </c>
      <c r="J100" s="379">
        <v>0.15</v>
      </c>
      <c r="K100" s="379">
        <f t="shared" si="7"/>
        <v>6959.85</v>
      </c>
      <c r="L100" s="378"/>
      <c r="M100" s="378"/>
    </row>
    <row r="101" spans="1:13" x14ac:dyDescent="0.25">
      <c r="A101" s="378"/>
      <c r="B101" s="396">
        <v>42310</v>
      </c>
      <c r="C101" s="378">
        <v>40</v>
      </c>
      <c r="D101" s="383">
        <v>53.01</v>
      </c>
      <c r="E101" s="379">
        <v>6.95</v>
      </c>
      <c r="F101" s="379">
        <f t="shared" si="6"/>
        <v>2127.35</v>
      </c>
      <c r="G101" s="377">
        <v>42431</v>
      </c>
      <c r="H101" s="382">
        <v>150</v>
      </c>
      <c r="I101" s="379">
        <v>46.72</v>
      </c>
      <c r="J101" s="379">
        <v>0.15</v>
      </c>
      <c r="K101" s="379">
        <f t="shared" si="7"/>
        <v>7007.85</v>
      </c>
      <c r="L101" s="378"/>
      <c r="M101" s="378"/>
    </row>
    <row r="102" spans="1:13" x14ac:dyDescent="0.25">
      <c r="A102" s="378"/>
      <c r="B102" s="396">
        <v>42340</v>
      </c>
      <c r="C102" s="378">
        <v>40</v>
      </c>
      <c r="D102" s="383">
        <v>58.6</v>
      </c>
      <c r="E102" s="379">
        <v>0</v>
      </c>
      <c r="F102" s="379">
        <f t="shared" si="6"/>
        <v>2344</v>
      </c>
      <c r="G102" s="377">
        <v>42433</v>
      </c>
      <c r="H102" s="382">
        <v>50</v>
      </c>
      <c r="I102" s="379">
        <v>50.35</v>
      </c>
      <c r="J102" s="379">
        <v>0.05</v>
      </c>
      <c r="K102" s="379">
        <f t="shared" si="7"/>
        <v>2517.4499999999998</v>
      </c>
      <c r="L102" s="378"/>
      <c r="M102" s="378"/>
    </row>
    <row r="103" spans="1:13" ht="45" x14ac:dyDescent="0.25">
      <c r="A103" s="378"/>
      <c r="B103" s="405" t="s">
        <v>170</v>
      </c>
      <c r="C103" s="378">
        <v>45</v>
      </c>
      <c r="D103" s="383">
        <v>50.45</v>
      </c>
      <c r="E103" s="379">
        <v>0</v>
      </c>
      <c r="F103" s="379">
        <f t="shared" si="6"/>
        <v>2270.25</v>
      </c>
      <c r="G103" s="377">
        <v>42440</v>
      </c>
      <c r="H103" s="382">
        <v>250</v>
      </c>
      <c r="I103" s="379">
        <v>50.24</v>
      </c>
      <c r="J103" s="379">
        <v>0.27</v>
      </c>
      <c r="K103" s="379">
        <f t="shared" si="7"/>
        <v>12559.73</v>
      </c>
      <c r="L103" s="378"/>
      <c r="M103" s="378"/>
    </row>
    <row r="104" spans="1:13" x14ac:dyDescent="0.25">
      <c r="A104" s="378"/>
      <c r="B104" s="405"/>
      <c r="C104" s="378">
        <v>75</v>
      </c>
      <c r="D104" s="383">
        <v>50.42</v>
      </c>
      <c r="E104" s="379">
        <v>0</v>
      </c>
      <c r="F104" s="379">
        <f t="shared" si="6"/>
        <v>3781.5</v>
      </c>
      <c r="G104" s="377">
        <v>42440</v>
      </c>
      <c r="H104" s="382">
        <v>50</v>
      </c>
      <c r="I104" s="379">
        <v>50.73</v>
      </c>
      <c r="J104" s="379">
        <v>0.05</v>
      </c>
      <c r="K104" s="379">
        <f t="shared" si="7"/>
        <v>2536.4499999999998</v>
      </c>
      <c r="L104" s="378"/>
      <c r="M104" s="378"/>
    </row>
    <row r="105" spans="1:13" x14ac:dyDescent="0.25">
      <c r="A105" s="378"/>
      <c r="B105" s="405"/>
      <c r="C105" s="378">
        <v>100</v>
      </c>
      <c r="D105" s="383">
        <v>50.33</v>
      </c>
      <c r="E105" s="379">
        <v>0</v>
      </c>
      <c r="F105" s="379">
        <f t="shared" si="6"/>
        <v>5033</v>
      </c>
      <c r="G105" s="377">
        <v>42440</v>
      </c>
      <c r="H105" s="382">
        <v>50</v>
      </c>
      <c r="I105" s="379">
        <v>51.08</v>
      </c>
      <c r="J105" s="379">
        <v>0.06</v>
      </c>
      <c r="K105" s="379">
        <f t="shared" si="7"/>
        <v>2553.94</v>
      </c>
      <c r="L105" s="378"/>
      <c r="M105" s="378"/>
    </row>
    <row r="106" spans="1:13" x14ac:dyDescent="0.25">
      <c r="A106" s="378"/>
      <c r="B106" s="405"/>
      <c r="C106" s="378">
        <v>100</v>
      </c>
      <c r="D106" s="383">
        <v>50.25</v>
      </c>
      <c r="E106" s="379">
        <v>0</v>
      </c>
      <c r="F106" s="379">
        <f t="shared" si="6"/>
        <v>5025</v>
      </c>
      <c r="G106" s="377">
        <v>42445</v>
      </c>
      <c r="H106" s="382">
        <v>20</v>
      </c>
      <c r="I106" s="379">
        <v>51.59</v>
      </c>
      <c r="J106" s="379">
        <v>0.02</v>
      </c>
      <c r="K106" s="379">
        <f t="shared" si="7"/>
        <v>1031.7800000000002</v>
      </c>
      <c r="L106" s="378"/>
      <c r="M106" s="378"/>
    </row>
    <row r="107" spans="1:13" x14ac:dyDescent="0.25">
      <c r="A107" s="378"/>
      <c r="B107" s="405"/>
      <c r="C107" s="378">
        <v>100</v>
      </c>
      <c r="D107" s="383">
        <v>50.05</v>
      </c>
      <c r="E107" s="379">
        <v>0</v>
      </c>
      <c r="F107" s="379">
        <f t="shared" si="6"/>
        <v>5005</v>
      </c>
      <c r="G107" s="377">
        <v>42446</v>
      </c>
      <c r="H107" s="382">
        <v>80</v>
      </c>
      <c r="I107" s="379">
        <v>53.45</v>
      </c>
      <c r="J107" s="379">
        <v>0.09</v>
      </c>
      <c r="K107" s="379">
        <f t="shared" si="7"/>
        <v>4275.91</v>
      </c>
      <c r="L107" s="378"/>
      <c r="M107" s="378"/>
    </row>
    <row r="108" spans="1:13" x14ac:dyDescent="0.25">
      <c r="A108" s="378"/>
      <c r="B108" s="405"/>
      <c r="C108" s="378">
        <v>100</v>
      </c>
      <c r="D108" s="383">
        <v>49.99</v>
      </c>
      <c r="E108" s="379">
        <v>0</v>
      </c>
      <c r="F108" s="379">
        <f t="shared" si="6"/>
        <v>4999</v>
      </c>
      <c r="G108" s="377">
        <v>42460</v>
      </c>
      <c r="H108" s="382">
        <v>50</v>
      </c>
      <c r="I108" s="379">
        <v>52.74</v>
      </c>
      <c r="J108" s="379">
        <v>0.06</v>
      </c>
      <c r="K108" s="379">
        <f t="shared" si="7"/>
        <v>2636.94</v>
      </c>
      <c r="L108" s="378"/>
      <c r="M108" s="378"/>
    </row>
    <row r="109" spans="1:13" x14ac:dyDescent="0.25">
      <c r="A109" s="378"/>
      <c r="B109" s="405"/>
      <c r="C109" s="378">
        <v>200</v>
      </c>
      <c r="D109" s="383">
        <v>49.69</v>
      </c>
      <c r="E109" s="379">
        <v>0</v>
      </c>
      <c r="F109" s="379">
        <f t="shared" si="6"/>
        <v>9938</v>
      </c>
      <c r="G109" s="377">
        <v>42466</v>
      </c>
      <c r="H109" s="382">
        <v>50</v>
      </c>
      <c r="I109" s="379">
        <v>53.25</v>
      </c>
      <c r="J109" s="379">
        <v>0.06</v>
      </c>
      <c r="K109" s="379">
        <f t="shared" si="7"/>
        <v>2662.44</v>
      </c>
      <c r="L109" s="378"/>
      <c r="M109" s="378"/>
    </row>
    <row r="110" spans="1:13" x14ac:dyDescent="0.25">
      <c r="A110" s="378"/>
      <c r="B110" s="396">
        <v>42362</v>
      </c>
      <c r="C110" s="378">
        <v>300</v>
      </c>
      <c r="D110" s="383">
        <v>48.18</v>
      </c>
      <c r="E110" s="379">
        <v>0</v>
      </c>
      <c r="F110" s="379">
        <f t="shared" si="6"/>
        <v>14454</v>
      </c>
      <c r="G110" s="377">
        <v>42472</v>
      </c>
      <c r="H110" s="382">
        <v>20</v>
      </c>
      <c r="I110" s="379">
        <v>57.11</v>
      </c>
      <c r="J110" s="379">
        <v>-0.03</v>
      </c>
      <c r="K110" s="379">
        <f t="shared" si="7"/>
        <v>1142.23</v>
      </c>
      <c r="L110" s="378"/>
      <c r="M110" s="378"/>
    </row>
    <row r="111" spans="1:13" x14ac:dyDescent="0.25">
      <c r="A111" s="378"/>
      <c r="B111" s="396">
        <v>42362</v>
      </c>
      <c r="C111" s="378">
        <v>300</v>
      </c>
      <c r="D111" s="383">
        <v>47.73</v>
      </c>
      <c r="E111" s="379">
        <v>-0.03</v>
      </c>
      <c r="F111" s="379">
        <f t="shared" si="6"/>
        <v>14318.969999999998</v>
      </c>
      <c r="G111" s="377">
        <v>42478</v>
      </c>
      <c r="H111" s="382">
        <v>20</v>
      </c>
      <c r="I111" s="379">
        <v>58.75</v>
      </c>
      <c r="J111" s="379">
        <v>0.03</v>
      </c>
      <c r="K111" s="379">
        <f t="shared" si="7"/>
        <v>1174.97</v>
      </c>
      <c r="L111" s="378"/>
      <c r="M111" s="378"/>
    </row>
    <row r="112" spans="1:13" x14ac:dyDescent="0.25">
      <c r="A112" s="378"/>
      <c r="B112" s="396">
        <v>42374</v>
      </c>
      <c r="C112" s="378">
        <v>100</v>
      </c>
      <c r="D112" s="383">
        <v>47.13</v>
      </c>
      <c r="E112" s="379">
        <v>0</v>
      </c>
      <c r="F112" s="379">
        <f t="shared" si="6"/>
        <v>4713</v>
      </c>
      <c r="G112" s="377">
        <v>42501</v>
      </c>
      <c r="H112" s="382">
        <v>30</v>
      </c>
      <c r="I112" s="379">
        <v>58.45</v>
      </c>
      <c r="J112" s="379">
        <v>0.04</v>
      </c>
      <c r="K112" s="379">
        <f t="shared" si="7"/>
        <v>1753.46</v>
      </c>
      <c r="L112" s="378"/>
      <c r="M112" s="378"/>
    </row>
    <row r="113" spans="1:13" x14ac:dyDescent="0.25">
      <c r="A113" s="378"/>
      <c r="B113" s="396">
        <v>42375</v>
      </c>
      <c r="C113" s="378">
        <v>100</v>
      </c>
      <c r="D113" s="383">
        <v>46.02</v>
      </c>
      <c r="E113" s="379">
        <v>0</v>
      </c>
      <c r="F113" s="379">
        <f t="shared" si="6"/>
        <v>4602</v>
      </c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378"/>
      <c r="B114" s="404">
        <v>42375</v>
      </c>
      <c r="C114" s="378">
        <v>30</v>
      </c>
      <c r="D114" s="383">
        <v>45.1</v>
      </c>
      <c r="E114" s="379">
        <v>0</v>
      </c>
      <c r="F114" s="379">
        <f t="shared" si="6"/>
        <v>1353</v>
      </c>
      <c r="G114" s="378"/>
      <c r="H114" s="382"/>
      <c r="I114" s="379"/>
      <c r="J114" s="379"/>
      <c r="K114" s="379"/>
      <c r="L114" s="378"/>
      <c r="M114" s="378"/>
    </row>
    <row r="115" spans="1:13" x14ac:dyDescent="0.25">
      <c r="A115" s="378"/>
      <c r="B115" s="404"/>
      <c r="C115" s="378">
        <v>20</v>
      </c>
      <c r="D115" s="383">
        <v>45.1</v>
      </c>
      <c r="E115" s="379">
        <v>0</v>
      </c>
      <c r="F115" s="379">
        <f t="shared" si="6"/>
        <v>902</v>
      </c>
      <c r="G115" s="378"/>
      <c r="H115" s="382"/>
      <c r="I115" s="379"/>
      <c r="J115" s="379"/>
      <c r="K115" s="379"/>
      <c r="L115" s="378"/>
      <c r="M115" s="378"/>
    </row>
    <row r="116" spans="1:13" x14ac:dyDescent="0.25">
      <c r="A116" s="378"/>
      <c r="B116" s="396">
        <v>42402</v>
      </c>
      <c r="C116" s="378">
        <v>150</v>
      </c>
      <c r="D116" s="383">
        <v>39.450000000000003</v>
      </c>
      <c r="E116" s="379">
        <v>0</v>
      </c>
      <c r="F116" s="379">
        <f t="shared" si="6"/>
        <v>5917.5</v>
      </c>
      <c r="G116" s="378"/>
      <c r="H116" s="382"/>
      <c r="I116" s="379"/>
      <c r="J116" s="379"/>
      <c r="K116" s="379"/>
      <c r="L116" s="378"/>
      <c r="M116" s="378"/>
    </row>
    <row r="117" spans="1:13" x14ac:dyDescent="0.25">
      <c r="A117" s="378"/>
      <c r="B117" s="396">
        <v>42405</v>
      </c>
      <c r="C117" s="378">
        <v>100</v>
      </c>
      <c r="D117" s="383">
        <v>38.385100000000001</v>
      </c>
      <c r="E117" s="379">
        <v>0</v>
      </c>
      <c r="F117" s="379">
        <f t="shared" si="6"/>
        <v>3838.51</v>
      </c>
      <c r="G117" s="378"/>
      <c r="H117" s="382"/>
      <c r="I117" s="379"/>
      <c r="J117" s="379"/>
      <c r="K117" s="379"/>
      <c r="L117" s="378"/>
      <c r="M117" s="378"/>
    </row>
    <row r="118" spans="1:13" x14ac:dyDescent="0.25">
      <c r="A118" s="378"/>
      <c r="B118" s="396">
        <v>42426</v>
      </c>
      <c r="C118" s="378">
        <v>150</v>
      </c>
      <c r="D118" s="383">
        <v>43.09</v>
      </c>
      <c r="E118" s="379">
        <v>0</v>
      </c>
      <c r="F118" s="379">
        <f t="shared" si="6"/>
        <v>6463.5000000000009</v>
      </c>
      <c r="G118" s="378"/>
      <c r="H118" s="382"/>
      <c r="I118" s="379"/>
      <c r="J118" s="379"/>
      <c r="K118" s="379"/>
      <c r="L118" s="378"/>
      <c r="M118" s="378"/>
    </row>
    <row r="119" spans="1:13" x14ac:dyDescent="0.25">
      <c r="A119" s="378"/>
      <c r="B119" s="396">
        <v>42426</v>
      </c>
      <c r="C119" s="378">
        <v>150</v>
      </c>
      <c r="D119" s="383">
        <v>42.89</v>
      </c>
      <c r="E119" s="379">
        <v>0</v>
      </c>
      <c r="F119" s="379">
        <f t="shared" si="6"/>
        <v>6433.5</v>
      </c>
      <c r="G119" s="378"/>
      <c r="H119" s="382"/>
      <c r="I119" s="379"/>
      <c r="J119" s="379"/>
      <c r="K119" s="379"/>
      <c r="L119" s="378"/>
      <c r="M119" s="378"/>
    </row>
    <row r="120" spans="1:13" x14ac:dyDescent="0.25">
      <c r="A120" s="378"/>
      <c r="B120" s="396">
        <v>42431</v>
      </c>
      <c r="C120" s="378">
        <v>150</v>
      </c>
      <c r="D120" s="383">
        <v>45.49</v>
      </c>
      <c r="E120" s="379">
        <v>0</v>
      </c>
      <c r="F120" s="379">
        <f t="shared" si="6"/>
        <v>6823.5</v>
      </c>
      <c r="G120" s="378"/>
      <c r="H120" s="382"/>
      <c r="I120" s="379"/>
      <c r="J120" s="379"/>
      <c r="K120" s="379"/>
      <c r="L120" s="378"/>
      <c r="M120" s="378"/>
    </row>
    <row r="121" spans="1:13" x14ac:dyDescent="0.25">
      <c r="A121" s="378"/>
      <c r="B121" s="396">
        <v>42431</v>
      </c>
      <c r="C121" s="378">
        <v>150</v>
      </c>
      <c r="D121" s="383">
        <v>45.07</v>
      </c>
      <c r="E121" s="379">
        <v>0</v>
      </c>
      <c r="F121" s="379">
        <f t="shared" si="6"/>
        <v>6760.5</v>
      </c>
      <c r="G121" s="378"/>
      <c r="H121" s="382"/>
      <c r="I121" s="379"/>
      <c r="J121" s="379"/>
      <c r="K121" s="379"/>
      <c r="L121" s="378"/>
      <c r="M121" s="378"/>
    </row>
    <row r="122" spans="1:13" x14ac:dyDescent="0.25">
      <c r="A122" s="378"/>
      <c r="B122" s="396">
        <v>42433</v>
      </c>
      <c r="C122" s="378">
        <v>50</v>
      </c>
      <c r="D122" s="383">
        <v>49.45</v>
      </c>
      <c r="E122" s="379">
        <v>0</v>
      </c>
      <c r="F122" s="379">
        <f t="shared" si="6"/>
        <v>2472.5</v>
      </c>
      <c r="G122" s="378"/>
      <c r="H122" s="382"/>
      <c r="I122" s="379"/>
      <c r="J122" s="379"/>
      <c r="K122" s="379"/>
      <c r="L122" s="378"/>
      <c r="M122" s="378"/>
    </row>
    <row r="123" spans="1:13" x14ac:dyDescent="0.25">
      <c r="A123" s="378"/>
      <c r="B123" s="396">
        <v>42444</v>
      </c>
      <c r="C123" s="378">
        <v>50</v>
      </c>
      <c r="D123" s="383">
        <v>48.21</v>
      </c>
      <c r="E123" s="379">
        <v>0</v>
      </c>
      <c r="F123" s="379">
        <f t="shared" si="6"/>
        <v>2410.5</v>
      </c>
      <c r="G123" s="378"/>
      <c r="H123" s="382"/>
      <c r="I123" s="379"/>
      <c r="J123" s="379"/>
      <c r="K123" s="379"/>
      <c r="L123" s="378"/>
      <c r="M123" s="378"/>
    </row>
    <row r="124" spans="1:13" x14ac:dyDescent="0.25">
      <c r="A124" s="378"/>
      <c r="B124" s="396">
        <v>42452</v>
      </c>
      <c r="C124" s="378">
        <v>50</v>
      </c>
      <c r="D124" s="383">
        <v>51.6</v>
      </c>
      <c r="E124" s="379">
        <v>0</v>
      </c>
      <c r="F124" s="379">
        <f t="shared" si="6"/>
        <v>2580</v>
      </c>
      <c r="G124" s="378"/>
      <c r="H124" s="382"/>
      <c r="I124" s="379"/>
      <c r="J124" s="379"/>
      <c r="K124" s="379"/>
      <c r="L124" s="378"/>
      <c r="M124" s="378"/>
    </row>
    <row r="125" spans="1:13" x14ac:dyDescent="0.25">
      <c r="A125" s="378"/>
      <c r="B125" s="396">
        <v>42464</v>
      </c>
      <c r="C125" s="378">
        <v>50</v>
      </c>
      <c r="D125" s="383">
        <v>50.62</v>
      </c>
      <c r="E125" s="379">
        <v>0</v>
      </c>
      <c r="F125" s="379">
        <f t="shared" si="6"/>
        <v>2531</v>
      </c>
      <c r="G125" s="378"/>
      <c r="H125" s="382"/>
      <c r="I125" s="379"/>
      <c r="J125" s="379"/>
      <c r="K125" s="379"/>
      <c r="L125" s="378"/>
      <c r="M125" s="378"/>
    </row>
    <row r="126" spans="1:13" x14ac:dyDescent="0.25">
      <c r="A126" s="378"/>
      <c r="B126" s="396">
        <v>42493</v>
      </c>
      <c r="C126" s="378">
        <v>20</v>
      </c>
      <c r="D126" s="383">
        <v>56.5</v>
      </c>
      <c r="E126" s="379">
        <v>0</v>
      </c>
      <c r="F126" s="379">
        <f t="shared" si="6"/>
        <v>1130</v>
      </c>
      <c r="G126" s="378"/>
      <c r="H126" s="382"/>
      <c r="I126" s="379"/>
      <c r="J126" s="379"/>
      <c r="K126" s="379"/>
      <c r="L126" s="378"/>
      <c r="M126" s="378"/>
    </row>
    <row r="127" spans="1:13" x14ac:dyDescent="0.25">
      <c r="A127" s="378"/>
      <c r="B127" s="400"/>
      <c r="C127" s="378"/>
      <c r="D127" s="383"/>
      <c r="E127" s="379"/>
      <c r="F127" s="379"/>
      <c r="G127" s="378"/>
      <c r="H127" s="382"/>
      <c r="I127" s="379"/>
      <c r="J127" s="379"/>
      <c r="K127" s="379"/>
      <c r="L127" s="378"/>
      <c r="M127" s="378"/>
    </row>
    <row r="128" spans="1:13" x14ac:dyDescent="0.25">
      <c r="A128" s="22" t="s">
        <v>81</v>
      </c>
      <c r="B128" s="401"/>
      <c r="C128" s="12">
        <f>SUM(C77:C127)</f>
        <v>3500</v>
      </c>
      <c r="D128" s="402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8"/>
      <c r="B129" s="400"/>
      <c r="C129" s="378"/>
      <c r="D129" s="383"/>
      <c r="E129" s="379"/>
      <c r="F129" s="379"/>
      <c r="G129" s="378"/>
      <c r="H129" s="382"/>
      <c r="I129" s="379"/>
      <c r="J129" s="379"/>
      <c r="K129" s="379"/>
      <c r="L129" s="378"/>
      <c r="M129" s="37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63" priority="17">
      <formula>F38&gt;0</formula>
    </cfRule>
    <cfRule type="expression" dxfId="562" priority="18">
      <formula>F38&lt;0</formula>
    </cfRule>
  </conditionalFormatting>
  <conditionalFormatting sqref="H38:H72">
    <cfRule type="expression" dxfId="561" priority="9">
      <formula>H38&gt;0</formula>
    </cfRule>
    <cfRule type="expression" dxfId="560" priority="10">
      <formula>H38&lt;0</formula>
    </cfRule>
  </conditionalFormatting>
  <conditionalFormatting sqref="F21:F37">
    <cfRule type="expression" dxfId="559" priority="7">
      <formula>F21&gt;0</formula>
    </cfRule>
    <cfRule type="expression" dxfId="558" priority="8">
      <formula>F21&lt;0</formula>
    </cfRule>
  </conditionalFormatting>
  <conditionalFormatting sqref="H21:H37">
    <cfRule type="expression" dxfId="557" priority="5">
      <formula>H21&gt;0</formula>
    </cfRule>
    <cfRule type="expression" dxfId="556" priority="6">
      <formula>H21&lt;0</formula>
    </cfRule>
  </conditionalFormatting>
  <conditionalFormatting sqref="Q8">
    <cfRule type="expression" dxfId="555" priority="1">
      <formula>Q8&gt;0</formula>
    </cfRule>
    <cfRule type="expression" dxfId="554" priority="2">
      <formula>Q8&lt;0</formula>
    </cfRule>
  </conditionalFormatting>
  <conditionalFormatting sqref="Q7">
    <cfRule type="expression" dxfId="553" priority="3">
      <formula>Q7&gt;0</formula>
    </cfRule>
    <cfRule type="expression" dxfId="55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42797</v>
      </c>
      <c r="X2" s="10">
        <v>109.08</v>
      </c>
      <c r="Y2" s="10">
        <v>109.28</v>
      </c>
      <c r="Z2" s="10">
        <v>108.24</v>
      </c>
      <c r="AA2" s="10">
        <v>109.02</v>
      </c>
      <c r="AB2" s="94">
        <v>2304900</v>
      </c>
      <c r="AC2" s="10">
        <v>109.02</v>
      </c>
      <c r="AD2" s="2">
        <f>Y2-Z2</f>
        <v>1.0400000000000063</v>
      </c>
      <c r="AE2" s="137">
        <f>AC2/AC3-1</f>
        <v>-2.7510316368639653E-4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106.28</v>
      </c>
      <c r="W3" s="132">
        <v>42796</v>
      </c>
      <c r="X3" s="10">
        <v>110.05</v>
      </c>
      <c r="Y3" s="10">
        <v>110.24</v>
      </c>
      <c r="Z3" s="10">
        <v>108.91</v>
      </c>
      <c r="AA3" s="10">
        <v>109.05</v>
      </c>
      <c r="AB3" s="94">
        <v>2739700</v>
      </c>
      <c r="AC3" s="10">
        <v>109.05</v>
      </c>
      <c r="AD3" s="2">
        <f t="shared" ref="AD3:AD66" si="0">Y3-Z3</f>
        <v>1.3299999999999983</v>
      </c>
      <c r="AE3" s="137">
        <f t="shared" ref="AE3:AE66" si="1">AC3/AC4-1</f>
        <v>-9.6267368994641389E-3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106.28</v>
      </c>
      <c r="R4" s="517">
        <v>8.9999999999999998E-4</v>
      </c>
      <c r="W4" s="132">
        <v>42795</v>
      </c>
      <c r="X4" s="10">
        <v>109.04</v>
      </c>
      <c r="Y4" s="10">
        <v>110.65</v>
      </c>
      <c r="Z4" s="10">
        <v>109.04</v>
      </c>
      <c r="AA4" s="10">
        <v>110.11</v>
      </c>
      <c r="AB4" s="94">
        <v>4064900</v>
      </c>
      <c r="AC4" s="10">
        <v>110.11</v>
      </c>
      <c r="AD4" s="2">
        <f t="shared" si="0"/>
        <v>1.6099999999999994</v>
      </c>
      <c r="AE4" s="137">
        <f t="shared" si="1"/>
        <v>2.0103761348897464E-2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42794</v>
      </c>
      <c r="X5" s="10">
        <v>107.53</v>
      </c>
      <c r="Y5" s="10">
        <v>108.08</v>
      </c>
      <c r="Z5" s="10">
        <v>107.09</v>
      </c>
      <c r="AA5" s="10">
        <v>107.94</v>
      </c>
      <c r="AB5" s="94">
        <v>3756600</v>
      </c>
      <c r="AC5" s="10">
        <v>107.94</v>
      </c>
      <c r="AD5" s="2">
        <f t="shared" si="0"/>
        <v>0.98999999999999488</v>
      </c>
      <c r="AE5" s="137">
        <f t="shared" si="1"/>
        <v>4.0930232558138435E-3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107.82</v>
      </c>
      <c r="Y6" s="10">
        <v>108</v>
      </c>
      <c r="Z6" s="10">
        <v>106.48</v>
      </c>
      <c r="AA6" s="10">
        <v>107.5</v>
      </c>
      <c r="AB6" s="94">
        <v>3288500</v>
      </c>
      <c r="AC6" s="10">
        <v>107.5</v>
      </c>
      <c r="AD6" s="2">
        <f t="shared" si="0"/>
        <v>1.519999999999996</v>
      </c>
      <c r="AE6" s="137">
        <f t="shared" si="1"/>
        <v>-2.2275849266752967E-3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42790</v>
      </c>
      <c r="X7" s="10">
        <v>105.61</v>
      </c>
      <c r="Y7" s="10">
        <v>107.76</v>
      </c>
      <c r="Z7" s="10">
        <v>105.17</v>
      </c>
      <c r="AA7" s="10">
        <v>107.74</v>
      </c>
      <c r="AB7" s="94">
        <v>4632500</v>
      </c>
      <c r="AC7" s="10">
        <v>107.74</v>
      </c>
      <c r="AD7" s="2">
        <f t="shared" si="0"/>
        <v>2.5900000000000034</v>
      </c>
      <c r="AE7" s="137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42790</v>
      </c>
      <c r="X8" s="10" t="s">
        <v>328</v>
      </c>
      <c r="Y8" s="10"/>
      <c r="Z8" s="10"/>
      <c r="AA8" s="10"/>
      <c r="AB8" s="94"/>
      <c r="AC8" s="10"/>
      <c r="AD8" s="2">
        <f t="shared" si="0"/>
        <v>0</v>
      </c>
      <c r="AE8" s="137">
        <f t="shared" si="1"/>
        <v>-1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42789</v>
      </c>
      <c r="X9" s="10">
        <v>109.14</v>
      </c>
      <c r="Y9" s="10">
        <v>109.5</v>
      </c>
      <c r="Z9" s="10">
        <v>106.26</v>
      </c>
      <c r="AA9" s="10">
        <v>106.7</v>
      </c>
      <c r="AB9" s="94">
        <v>4876600</v>
      </c>
      <c r="AC9" s="10">
        <v>106.09</v>
      </c>
      <c r="AD9" s="2">
        <f t="shared" si="0"/>
        <v>3.2399999999999949</v>
      </c>
      <c r="AE9" s="137">
        <f t="shared" si="1"/>
        <v>-1.99538106235565E-2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42788</v>
      </c>
      <c r="X10" s="10">
        <v>109.18</v>
      </c>
      <c r="Y10" s="10">
        <v>109.44</v>
      </c>
      <c r="Z10" s="10">
        <v>107.95</v>
      </c>
      <c r="AA10" s="10">
        <v>108.87</v>
      </c>
      <c r="AB10" s="94">
        <v>4206100</v>
      </c>
      <c r="AC10" s="10">
        <v>108.25</v>
      </c>
      <c r="AD10" s="2">
        <f t="shared" si="0"/>
        <v>1.4899999999999949</v>
      </c>
      <c r="AE10" s="137">
        <f t="shared" si="1"/>
        <v>-7.3360843649701302E-3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0.02</v>
      </c>
      <c r="T11" s="43"/>
      <c r="U11" s="33"/>
      <c r="V11" s="11"/>
      <c r="W11" s="98">
        <v>42787</v>
      </c>
      <c r="X11" s="10">
        <v>110</v>
      </c>
      <c r="Y11" s="10">
        <v>110.82</v>
      </c>
      <c r="Z11" s="10">
        <v>109.35</v>
      </c>
      <c r="AA11" s="10">
        <v>109.67</v>
      </c>
      <c r="AB11" s="94">
        <v>4169800</v>
      </c>
      <c r="AC11" s="10">
        <v>109.05</v>
      </c>
      <c r="AD11" s="2">
        <f t="shared" si="0"/>
        <v>1.4699999999999989</v>
      </c>
      <c r="AE11" s="137">
        <f t="shared" si="1"/>
        <v>-1.3736263736264798E-3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6"/>
      <c r="W12" s="132">
        <v>42783</v>
      </c>
      <c r="X12" s="10">
        <v>109.43</v>
      </c>
      <c r="Y12" s="10">
        <v>109.82</v>
      </c>
      <c r="Z12" s="10">
        <v>107.96</v>
      </c>
      <c r="AA12" s="10">
        <v>109.82</v>
      </c>
      <c r="AB12" s="94">
        <v>4246300</v>
      </c>
      <c r="AC12" s="10">
        <v>109.2</v>
      </c>
      <c r="AD12" s="2">
        <f t="shared" si="0"/>
        <v>1.8599999999999994</v>
      </c>
      <c r="AE12" s="137">
        <f t="shared" si="1"/>
        <v>3.9532959455732541E-3</v>
      </c>
    </row>
    <row r="13" spans="1:31" x14ac:dyDescent="0.25">
      <c r="T13" s="67"/>
      <c r="W13" s="132">
        <v>42782</v>
      </c>
      <c r="X13" s="10">
        <v>109.48</v>
      </c>
      <c r="Y13" s="10">
        <v>110</v>
      </c>
      <c r="Z13" s="10">
        <v>108.5</v>
      </c>
      <c r="AA13" s="10">
        <v>109.39</v>
      </c>
      <c r="AB13" s="94">
        <v>2811100</v>
      </c>
      <c r="AC13" s="10">
        <v>108.77</v>
      </c>
      <c r="AD13" s="2">
        <f t="shared" si="0"/>
        <v>1.5</v>
      </c>
      <c r="AE13" s="137">
        <f t="shared" si="1"/>
        <v>-3.5727372663979517E-3</v>
      </c>
    </row>
    <row r="14" spans="1:31" x14ac:dyDescent="0.25">
      <c r="W14" s="132">
        <v>42781</v>
      </c>
      <c r="X14" s="10">
        <v>108.53</v>
      </c>
      <c r="Y14" s="10">
        <v>109.99</v>
      </c>
      <c r="Z14" s="10">
        <v>108.17</v>
      </c>
      <c r="AA14" s="10">
        <v>109.78</v>
      </c>
      <c r="AB14" s="94">
        <v>3352900</v>
      </c>
      <c r="AC14" s="10">
        <v>109.16</v>
      </c>
      <c r="AD14" s="2">
        <f t="shared" si="0"/>
        <v>1.8199999999999932</v>
      </c>
      <c r="AE14" s="137">
        <f t="shared" si="1"/>
        <v>5.7121798415329383E-3</v>
      </c>
    </row>
    <row r="15" spans="1:31" x14ac:dyDescent="0.25">
      <c r="W15" s="132">
        <v>42780</v>
      </c>
      <c r="X15" s="10">
        <v>108.07</v>
      </c>
      <c r="Y15" s="10">
        <v>109.16</v>
      </c>
      <c r="Z15" s="10">
        <v>107.74</v>
      </c>
      <c r="AA15" s="10">
        <v>109.16</v>
      </c>
      <c r="AB15" s="94">
        <v>2890300</v>
      </c>
      <c r="AC15" s="10">
        <v>108.54</v>
      </c>
      <c r="AD15" s="2">
        <f t="shared" si="0"/>
        <v>1.4200000000000017</v>
      </c>
      <c r="AE15" s="137">
        <f t="shared" si="1"/>
        <v>7.7058768916535847E-3</v>
      </c>
    </row>
    <row r="16" spans="1:31" x14ac:dyDescent="0.25">
      <c r="W16" s="132">
        <v>42779</v>
      </c>
      <c r="X16" s="10">
        <v>108.09</v>
      </c>
      <c r="Y16" s="10">
        <v>109.3</v>
      </c>
      <c r="Z16" s="10">
        <v>107.89</v>
      </c>
      <c r="AA16" s="10">
        <v>108.32</v>
      </c>
      <c r="AB16" s="94">
        <v>2640000</v>
      </c>
      <c r="AC16" s="10">
        <v>107.71</v>
      </c>
      <c r="AD16" s="2">
        <f t="shared" si="0"/>
        <v>1.4099999999999966</v>
      </c>
      <c r="AE16" s="137">
        <f t="shared" si="1"/>
        <v>4.1954130151033997E-3</v>
      </c>
    </row>
    <row r="17" spans="1:31" x14ac:dyDescent="0.25">
      <c r="W17" s="132">
        <v>42776</v>
      </c>
      <c r="X17" s="10">
        <v>107.88</v>
      </c>
      <c r="Y17" s="10">
        <v>108.49</v>
      </c>
      <c r="Z17" s="10">
        <v>107.71</v>
      </c>
      <c r="AA17" s="10">
        <v>107.87</v>
      </c>
      <c r="AB17" s="94">
        <v>2778000</v>
      </c>
      <c r="AC17" s="10">
        <v>107.26</v>
      </c>
      <c r="AD17" s="2">
        <f t="shared" si="0"/>
        <v>0.78000000000000114</v>
      </c>
      <c r="AE17" s="137">
        <f t="shared" si="1"/>
        <v>4.2130886621103425E-3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42775</v>
      </c>
      <c r="X18" s="10">
        <v>107.34</v>
      </c>
      <c r="Y18" s="10">
        <v>107.88</v>
      </c>
      <c r="Z18" s="10">
        <v>107.12</v>
      </c>
      <c r="AA18" s="10">
        <v>107.42</v>
      </c>
      <c r="AB18" s="94">
        <v>3603900</v>
      </c>
      <c r="AC18" s="10">
        <v>106.81</v>
      </c>
      <c r="AD18" s="2">
        <f t="shared" si="0"/>
        <v>0.75999999999999091</v>
      </c>
      <c r="AE18" s="137">
        <f t="shared" si="1"/>
        <v>7.4955495174733322E-4</v>
      </c>
    </row>
    <row r="19" spans="1:31" x14ac:dyDescent="0.25">
      <c r="W19" s="132">
        <v>42774</v>
      </c>
      <c r="X19" s="10">
        <v>107.52</v>
      </c>
      <c r="Y19" s="10">
        <v>107.93</v>
      </c>
      <c r="Z19" s="10">
        <v>106.27</v>
      </c>
      <c r="AA19" s="10">
        <v>107.34</v>
      </c>
      <c r="AB19" s="94">
        <v>3901400</v>
      </c>
      <c r="AC19" s="10">
        <v>106.73</v>
      </c>
      <c r="AD19" s="2">
        <f t="shared" si="0"/>
        <v>1.6600000000000108</v>
      </c>
      <c r="AE19" s="137">
        <f t="shared" si="1"/>
        <v>-2.8961136023916145E-3</v>
      </c>
    </row>
    <row r="20" spans="1:31" x14ac:dyDescent="0.25">
      <c r="W20" s="132">
        <v>42773</v>
      </c>
      <c r="X20" s="10">
        <v>108.19</v>
      </c>
      <c r="Y20" s="10">
        <v>108.76</v>
      </c>
      <c r="Z20" s="10">
        <v>107.35</v>
      </c>
      <c r="AA20" s="10">
        <v>107.65</v>
      </c>
      <c r="AB20" s="94">
        <v>3493400</v>
      </c>
      <c r="AC20" s="10">
        <v>107.04</v>
      </c>
      <c r="AD20" s="2">
        <f t="shared" si="0"/>
        <v>1.4100000000000108</v>
      </c>
      <c r="AE20" s="137">
        <f t="shared" si="1"/>
        <v>-3.7355248412396236E-4</v>
      </c>
    </row>
    <row r="21" spans="1:31" x14ac:dyDescent="0.25">
      <c r="W21" s="40">
        <v>42772</v>
      </c>
      <c r="X21" s="10">
        <v>108.36</v>
      </c>
      <c r="Y21" s="10">
        <v>108.69</v>
      </c>
      <c r="Z21" s="10">
        <v>107.58</v>
      </c>
      <c r="AA21" s="10">
        <v>107.69</v>
      </c>
      <c r="AB21" s="94">
        <v>2858100</v>
      </c>
      <c r="AC21" s="10">
        <v>107.08</v>
      </c>
      <c r="AD21" s="2">
        <f t="shared" si="0"/>
        <v>1.1099999999999994</v>
      </c>
      <c r="AE21" s="137">
        <f t="shared" si="1"/>
        <v>-7.5076466771711869E-3</v>
      </c>
    </row>
    <row r="22" spans="1:31" x14ac:dyDescent="0.25">
      <c r="W22" s="132">
        <v>42769</v>
      </c>
      <c r="X22" s="10">
        <v>107.48</v>
      </c>
      <c r="Y22" s="10">
        <v>108.84</v>
      </c>
      <c r="Z22" s="10">
        <v>107.35</v>
      </c>
      <c r="AA22" s="10">
        <v>108.51</v>
      </c>
      <c r="AB22" s="94">
        <v>3249600</v>
      </c>
      <c r="AC22" s="10">
        <v>107.89</v>
      </c>
      <c r="AD22" s="2">
        <f t="shared" si="0"/>
        <v>1.4900000000000091</v>
      </c>
      <c r="AE22" s="137">
        <f t="shared" si="1"/>
        <v>1.1247539600712342E-2</v>
      </c>
    </row>
    <row r="23" spans="1:31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42768</v>
      </c>
      <c r="X23" s="10">
        <v>107.2</v>
      </c>
      <c r="Y23" s="10">
        <v>107.58</v>
      </c>
      <c r="Z23" s="10">
        <v>105.9</v>
      </c>
      <c r="AA23" s="10">
        <v>107.3</v>
      </c>
      <c r="AB23" s="94">
        <v>4225900</v>
      </c>
      <c r="AC23" s="10">
        <v>106.69</v>
      </c>
      <c r="AD23" s="2">
        <f t="shared" si="0"/>
        <v>1.6799999999999926</v>
      </c>
      <c r="AE23" s="137">
        <f t="shared" si="1"/>
        <v>-3.735176020170039E-3</v>
      </c>
    </row>
    <row r="24" spans="1:31" x14ac:dyDescent="0.25">
      <c r="B24" s="192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0"/>
      <c r="I24" s="40"/>
      <c r="W24" s="132">
        <v>42767</v>
      </c>
      <c r="X24" s="10">
        <v>107.04</v>
      </c>
      <c r="Y24" s="10">
        <v>108.07</v>
      </c>
      <c r="Z24" s="10">
        <v>106.4</v>
      </c>
      <c r="AA24" s="10">
        <v>107.7</v>
      </c>
      <c r="AB24" s="94">
        <v>4374500</v>
      </c>
      <c r="AC24" s="10">
        <v>107.09</v>
      </c>
      <c r="AD24" s="2">
        <f t="shared" si="0"/>
        <v>1.6699999999999875</v>
      </c>
      <c r="AE24" s="137">
        <f t="shared" si="1"/>
        <v>1.0473674278165701E-2</v>
      </c>
    </row>
    <row r="25" spans="1:31" x14ac:dyDescent="0.25">
      <c r="B25" s="192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0">
        <f>IF(C25=0, 0, (E25-D25)/D25)</f>
        <v>3.3863413421019818E-2</v>
      </c>
      <c r="I25" s="40"/>
      <c r="W25" s="132">
        <v>42766</v>
      </c>
      <c r="X25" s="10">
        <v>108.13</v>
      </c>
      <c r="Y25" s="10">
        <v>108.58</v>
      </c>
      <c r="Z25" s="10">
        <v>106.22</v>
      </c>
      <c r="AA25" s="10">
        <v>106.58</v>
      </c>
      <c r="AB25" s="94">
        <v>4534600</v>
      </c>
      <c r="AC25" s="10">
        <v>105.98</v>
      </c>
      <c r="AD25" s="2">
        <f t="shared" si="0"/>
        <v>2.3599999999999994</v>
      </c>
      <c r="AE25" s="137">
        <f t="shared" si="1"/>
        <v>-1.3129714126082437E-2</v>
      </c>
    </row>
    <row r="26" spans="1:31" x14ac:dyDescent="0.25">
      <c r="B26" s="192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0">
        <f>IF(C26=0, 0, (E26-D26)/D26)</f>
        <v>-1.6441232954309919E-3</v>
      </c>
      <c r="I26" s="40"/>
      <c r="W26" s="132">
        <v>42765</v>
      </c>
      <c r="X26" s="10">
        <v>108.94</v>
      </c>
      <c r="Y26" s="10">
        <v>108.96</v>
      </c>
      <c r="Z26" s="10">
        <v>106.34</v>
      </c>
      <c r="AA26" s="10">
        <v>108</v>
      </c>
      <c r="AB26" s="94">
        <v>5334200</v>
      </c>
      <c r="AC26" s="10">
        <v>107.39</v>
      </c>
      <c r="AD26" s="2">
        <f t="shared" si="0"/>
        <v>2.6199999999999903</v>
      </c>
      <c r="AE26" s="137">
        <f t="shared" si="1"/>
        <v>-1.0959661079388394E-2</v>
      </c>
    </row>
    <row r="27" spans="1:31" x14ac:dyDescent="0.25">
      <c r="B27" s="192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0"/>
      <c r="I27" s="40"/>
      <c r="W27" s="132">
        <v>42762</v>
      </c>
      <c r="X27" s="10">
        <v>110.35</v>
      </c>
      <c r="Y27" s="10">
        <v>110.36</v>
      </c>
      <c r="Z27" s="10">
        <v>108.14</v>
      </c>
      <c r="AA27" s="10">
        <v>109.2</v>
      </c>
      <c r="AB27" s="94">
        <v>3555400</v>
      </c>
      <c r="AC27" s="10">
        <v>108.58</v>
      </c>
      <c r="AD27" s="2">
        <f t="shared" si="0"/>
        <v>2.2199999999999989</v>
      </c>
      <c r="AE27" s="137">
        <f t="shared" si="1"/>
        <v>-8.6734228065370456E-3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42761</v>
      </c>
      <c r="X28" s="10">
        <v>110.25</v>
      </c>
      <c r="Y28" s="10">
        <v>111.38</v>
      </c>
      <c r="Z28" s="10">
        <v>109.48</v>
      </c>
      <c r="AA28" s="10">
        <v>110.15</v>
      </c>
      <c r="AB28" s="94">
        <v>4607200</v>
      </c>
      <c r="AC28" s="10">
        <v>109.53</v>
      </c>
      <c r="AD28" s="2">
        <f t="shared" si="0"/>
        <v>1.8999999999999915</v>
      </c>
      <c r="AE28" s="137">
        <f t="shared" si="1"/>
        <v>-2.3681573913836296E-3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42760</v>
      </c>
      <c r="X29" s="10">
        <v>109.29</v>
      </c>
      <c r="Y29" s="10">
        <v>111</v>
      </c>
      <c r="Z29" s="10">
        <v>109.01</v>
      </c>
      <c r="AA29" s="10">
        <v>110.42</v>
      </c>
      <c r="AB29" s="94">
        <v>5137900</v>
      </c>
      <c r="AC29" s="10">
        <v>109.79</v>
      </c>
      <c r="AD29" s="2">
        <f t="shared" si="0"/>
        <v>1.9899999999999949</v>
      </c>
      <c r="AE29" s="137">
        <f t="shared" si="1"/>
        <v>1.5633672525439568E-2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42759</v>
      </c>
      <c r="X30" s="10">
        <v>108.15</v>
      </c>
      <c r="Y30" s="10">
        <v>109.25</v>
      </c>
      <c r="Z30" s="10">
        <v>107.6</v>
      </c>
      <c r="AA30" s="10">
        <v>108.72</v>
      </c>
      <c r="AB30" s="94">
        <v>4564900</v>
      </c>
      <c r="AC30" s="10">
        <v>108.1</v>
      </c>
      <c r="AD30" s="2">
        <f t="shared" si="0"/>
        <v>1.6500000000000057</v>
      </c>
      <c r="AE30" s="137">
        <f t="shared" si="1"/>
        <v>6.705159247532011E-3</v>
      </c>
    </row>
    <row r="31" spans="1:31" x14ac:dyDescent="0.25">
      <c r="W31" s="132">
        <v>42758</v>
      </c>
      <c r="X31" s="10">
        <v>108.64</v>
      </c>
      <c r="Y31" s="10">
        <v>108.64</v>
      </c>
      <c r="Z31" s="10">
        <v>106.93</v>
      </c>
      <c r="AA31" s="10">
        <v>107.99</v>
      </c>
      <c r="AB31" s="94">
        <v>3932200</v>
      </c>
      <c r="AC31" s="10">
        <v>107.38</v>
      </c>
      <c r="AD31" s="2">
        <f t="shared" si="0"/>
        <v>1.7099999999999937</v>
      </c>
      <c r="AE31" s="137">
        <f t="shared" si="1"/>
        <v>-5.5565845526950319E-3</v>
      </c>
    </row>
    <row r="32" spans="1:31" x14ac:dyDescent="0.25">
      <c r="W32" s="132">
        <v>42755</v>
      </c>
      <c r="X32" s="10">
        <v>106.83</v>
      </c>
      <c r="Y32" s="10">
        <v>108.64</v>
      </c>
      <c r="Z32" s="10">
        <v>106.61</v>
      </c>
      <c r="AA32" s="10">
        <v>108.6</v>
      </c>
      <c r="AB32" s="94">
        <v>6440000</v>
      </c>
      <c r="AC32" s="10">
        <v>107.98</v>
      </c>
      <c r="AD32" s="2">
        <f t="shared" si="0"/>
        <v>2.0300000000000011</v>
      </c>
      <c r="AE32" s="137">
        <f t="shared" si="1"/>
        <v>2.2150700492237885E-2</v>
      </c>
    </row>
    <row r="33" spans="1:31" x14ac:dyDescent="0.25">
      <c r="W33" s="132">
        <v>42754</v>
      </c>
      <c r="X33" s="10">
        <v>108.21</v>
      </c>
      <c r="Y33" s="10">
        <v>108.98</v>
      </c>
      <c r="Z33" s="10">
        <v>105.44</v>
      </c>
      <c r="AA33" s="10">
        <v>106.24</v>
      </c>
      <c r="AB33" s="94">
        <v>10103900</v>
      </c>
      <c r="AC33" s="10">
        <v>105.64</v>
      </c>
      <c r="AD33" s="2">
        <f t="shared" si="0"/>
        <v>3.5400000000000063</v>
      </c>
      <c r="AE33" s="137">
        <f t="shared" si="1"/>
        <v>2.384182981197891E-2</v>
      </c>
    </row>
    <row r="34" spans="1:31" x14ac:dyDescent="0.25">
      <c r="L34" t="s">
        <v>212</v>
      </c>
      <c r="M34" s="2">
        <f>M49+K49-F49</f>
        <v>128.08999999999833</v>
      </c>
      <c r="W34" s="132">
        <v>42753</v>
      </c>
      <c r="X34" s="10">
        <v>102.26</v>
      </c>
      <c r="Y34" s="10">
        <v>104.37</v>
      </c>
      <c r="Z34" s="10">
        <v>101.53</v>
      </c>
      <c r="AA34" s="10">
        <v>103.77</v>
      </c>
      <c r="AB34" s="94">
        <v>5363900</v>
      </c>
      <c r="AC34" s="10">
        <v>103.18</v>
      </c>
      <c r="AD34" s="2">
        <f t="shared" si="0"/>
        <v>2.8400000000000034</v>
      </c>
      <c r="AE34" s="137">
        <f t="shared" si="1"/>
        <v>3.8918077446974397E-3</v>
      </c>
    </row>
    <row r="35" spans="1:31" x14ac:dyDescent="0.25">
      <c r="A35" s="262" t="s">
        <v>1</v>
      </c>
      <c r="B35" s="262" t="s">
        <v>2</v>
      </c>
      <c r="C35" s="262" t="s">
        <v>4</v>
      </c>
      <c r="D35" s="263" t="s">
        <v>5</v>
      </c>
      <c r="E35" s="263" t="s">
        <v>94</v>
      </c>
      <c r="F35" s="263" t="s">
        <v>60</v>
      </c>
      <c r="G35" s="262" t="s">
        <v>3</v>
      </c>
      <c r="H35" s="262" t="s">
        <v>6</v>
      </c>
      <c r="I35" s="263" t="s">
        <v>7</v>
      </c>
      <c r="J35" s="263" t="s">
        <v>95</v>
      </c>
      <c r="K35" s="263" t="s">
        <v>61</v>
      </c>
      <c r="L35" s="262" t="s">
        <v>37</v>
      </c>
      <c r="M35" s="262" t="s">
        <v>38</v>
      </c>
      <c r="W35" s="132">
        <v>42752</v>
      </c>
      <c r="X35" s="10">
        <v>104.7</v>
      </c>
      <c r="Y35" s="10">
        <v>104.82</v>
      </c>
      <c r="Z35" s="10">
        <v>102.85</v>
      </c>
      <c r="AA35" s="10">
        <v>103.37</v>
      </c>
      <c r="AB35" s="94">
        <v>3401800</v>
      </c>
      <c r="AC35" s="10">
        <v>102.78</v>
      </c>
      <c r="AD35" s="2">
        <f t="shared" si="0"/>
        <v>1.9699999999999989</v>
      </c>
      <c r="AE35" s="137">
        <f t="shared" si="1"/>
        <v>-1.786908743430482E-2</v>
      </c>
    </row>
    <row r="36" spans="1:31" x14ac:dyDescent="0.25">
      <c r="A36" s="264" t="s">
        <v>42</v>
      </c>
      <c r="B36" s="265">
        <v>42184</v>
      </c>
      <c r="C36" s="260">
        <v>10</v>
      </c>
      <c r="D36" s="261">
        <v>99.05</v>
      </c>
      <c r="E36" s="261">
        <v>0</v>
      </c>
      <c r="F36" s="261">
        <f>C36*D36</f>
        <v>990.5</v>
      </c>
      <c r="G36" s="265">
        <v>42216</v>
      </c>
      <c r="H36" s="260">
        <v>40</v>
      </c>
      <c r="I36" s="261">
        <v>95.1</v>
      </c>
      <c r="J36" s="261">
        <v>7.0000000000000007E-2</v>
      </c>
      <c r="K36" s="261">
        <f>H36*I36-J36</f>
        <v>3803.93</v>
      </c>
      <c r="L36" s="265">
        <v>42277</v>
      </c>
      <c r="M36" s="261">
        <v>33</v>
      </c>
      <c r="W36" s="132">
        <v>42748</v>
      </c>
      <c r="X36" s="10">
        <v>104.51</v>
      </c>
      <c r="Y36" s="10">
        <v>105.45</v>
      </c>
      <c r="Z36" s="10">
        <v>104.28</v>
      </c>
      <c r="AA36" s="10">
        <v>105.25</v>
      </c>
      <c r="AB36" s="94">
        <v>2743400</v>
      </c>
      <c r="AC36" s="10">
        <v>104.65</v>
      </c>
      <c r="AD36" s="2">
        <f t="shared" si="0"/>
        <v>1.1700000000000017</v>
      </c>
      <c r="AE36" s="137">
        <f t="shared" si="1"/>
        <v>5.1868216309673976E-3</v>
      </c>
    </row>
    <row r="37" spans="1:31" x14ac:dyDescent="0.25">
      <c r="A37" s="267" t="s">
        <v>71</v>
      </c>
      <c r="B37" s="265">
        <v>42184</v>
      </c>
      <c r="C37" s="260">
        <v>20</v>
      </c>
      <c r="D37" s="261">
        <v>99.5</v>
      </c>
      <c r="E37" s="261">
        <v>0</v>
      </c>
      <c r="F37" s="261">
        <f t="shared" ref="F37:F43" si="2">C37*D37</f>
        <v>1990</v>
      </c>
      <c r="G37" s="265">
        <v>42216</v>
      </c>
      <c r="H37" s="260">
        <v>20</v>
      </c>
      <c r="I37" s="261">
        <v>95.6</v>
      </c>
      <c r="J37" s="261">
        <v>0.04</v>
      </c>
      <c r="K37" s="261">
        <f>H37*I37-J37</f>
        <v>1911.96</v>
      </c>
      <c r="L37" s="260"/>
      <c r="M37" s="260"/>
      <c r="W37" s="132">
        <v>42747</v>
      </c>
      <c r="X37" s="10">
        <v>104.27</v>
      </c>
      <c r="Y37" s="10">
        <v>104.96</v>
      </c>
      <c r="Z37" s="10">
        <v>103.35</v>
      </c>
      <c r="AA37" s="10">
        <v>104.7</v>
      </c>
      <c r="AB37" s="94">
        <v>2397000</v>
      </c>
      <c r="AC37" s="10">
        <v>104.11</v>
      </c>
      <c r="AD37" s="2">
        <f t="shared" si="0"/>
        <v>1.6099999999999994</v>
      </c>
      <c r="AE37" s="137">
        <f t="shared" si="1"/>
        <v>4.1473765432098464E-3</v>
      </c>
    </row>
    <row r="38" spans="1:31" x14ac:dyDescent="0.25">
      <c r="A38" s="260"/>
      <c r="B38" s="265">
        <v>42184</v>
      </c>
      <c r="C38" s="260">
        <v>10</v>
      </c>
      <c r="D38" s="261">
        <v>98.35</v>
      </c>
      <c r="E38" s="261">
        <v>0</v>
      </c>
      <c r="F38" s="261">
        <f t="shared" si="2"/>
        <v>983.5</v>
      </c>
      <c r="G38" s="265">
        <v>42304</v>
      </c>
      <c r="H38" s="260">
        <v>60</v>
      </c>
      <c r="I38" s="261">
        <v>97.2</v>
      </c>
      <c r="J38" s="261">
        <v>0.11</v>
      </c>
      <c r="K38" s="261">
        <f>H38*I38-J38</f>
        <v>5831.89</v>
      </c>
      <c r="L38" s="260"/>
      <c r="M38" s="260"/>
      <c r="W38" s="132">
        <v>42746</v>
      </c>
      <c r="X38" s="10">
        <v>103.35</v>
      </c>
      <c r="Y38" s="10">
        <v>104.83</v>
      </c>
      <c r="Z38" s="10">
        <v>103.03</v>
      </c>
      <c r="AA38" s="10">
        <v>104.27</v>
      </c>
      <c r="AB38" s="94">
        <v>2864800</v>
      </c>
      <c r="AC38" s="10">
        <v>103.68</v>
      </c>
      <c r="AD38" s="2">
        <f t="shared" si="0"/>
        <v>1.7999999999999972</v>
      </c>
      <c r="AE38" s="137">
        <f t="shared" si="1"/>
        <v>8.2660702129728758E-3</v>
      </c>
    </row>
    <row r="39" spans="1:31" x14ac:dyDescent="0.25">
      <c r="A39" s="260"/>
      <c r="B39" s="265">
        <v>42184</v>
      </c>
      <c r="C39" s="260">
        <v>20</v>
      </c>
      <c r="D39" s="261">
        <v>98.1</v>
      </c>
      <c r="E39" s="261">
        <v>0</v>
      </c>
      <c r="F39" s="261">
        <f t="shared" si="2"/>
        <v>1962</v>
      </c>
      <c r="G39" s="265">
        <v>42409</v>
      </c>
      <c r="H39" s="260">
        <v>30</v>
      </c>
      <c r="I39" s="261">
        <v>76.650000000000006</v>
      </c>
      <c r="J39" s="261">
        <v>0.04</v>
      </c>
      <c r="K39" s="261">
        <f>H39*I39-J39</f>
        <v>2299.46</v>
      </c>
      <c r="L39" s="260"/>
      <c r="M39" s="260"/>
      <c r="W39" s="132">
        <v>42745</v>
      </c>
      <c r="X39" s="10">
        <v>102.56</v>
      </c>
      <c r="Y39" s="10">
        <v>104.24</v>
      </c>
      <c r="Z39" s="10">
        <v>101.91</v>
      </c>
      <c r="AA39" s="10">
        <v>103.42</v>
      </c>
      <c r="AB39" s="94">
        <v>3562700</v>
      </c>
      <c r="AC39" s="10">
        <v>102.83</v>
      </c>
      <c r="AD39" s="2">
        <f t="shared" si="0"/>
        <v>2.3299999999999983</v>
      </c>
      <c r="AE39" s="137">
        <f t="shared" si="1"/>
        <v>9.7211311861742367E-3</v>
      </c>
    </row>
    <row r="40" spans="1:31" x14ac:dyDescent="0.25">
      <c r="A40" s="260"/>
      <c r="B40" s="265">
        <v>42213</v>
      </c>
      <c r="C40" s="260">
        <v>10</v>
      </c>
      <c r="D40" s="261">
        <v>92.5</v>
      </c>
      <c r="E40" s="261">
        <v>0</v>
      </c>
      <c r="F40" s="261">
        <f t="shared" si="2"/>
        <v>925</v>
      </c>
      <c r="G40" s="260"/>
      <c r="H40" s="260"/>
      <c r="I40" s="261"/>
      <c r="J40" s="261"/>
      <c r="K40" s="261"/>
      <c r="L40" s="260"/>
      <c r="M40" s="260"/>
      <c r="W40" s="132">
        <v>42744</v>
      </c>
      <c r="X40" s="10">
        <v>103.73</v>
      </c>
      <c r="Y40" s="10">
        <v>103.74</v>
      </c>
      <c r="Z40" s="10">
        <v>101.9</v>
      </c>
      <c r="AA40" s="10">
        <v>102.42</v>
      </c>
      <c r="AB40" s="94">
        <v>2968600</v>
      </c>
      <c r="AC40" s="10">
        <v>101.84</v>
      </c>
      <c r="AD40" s="2">
        <f t="shared" si="0"/>
        <v>1.8399999999999892</v>
      </c>
      <c r="AE40" s="137">
        <f t="shared" si="1"/>
        <v>-7.4074074074073071E-3</v>
      </c>
    </row>
    <row r="41" spans="1:31" x14ac:dyDescent="0.25">
      <c r="A41" s="260"/>
      <c r="B41" s="265">
        <v>42213</v>
      </c>
      <c r="C41" s="260">
        <v>10</v>
      </c>
      <c r="D41" s="261">
        <v>91.65</v>
      </c>
      <c r="E41" s="261">
        <v>0</v>
      </c>
      <c r="F41" s="261">
        <f t="shared" si="2"/>
        <v>916.5</v>
      </c>
      <c r="G41" s="260"/>
      <c r="H41" s="260"/>
      <c r="I41" s="261"/>
      <c r="J41" s="261"/>
      <c r="K41" s="261"/>
      <c r="L41" s="260"/>
      <c r="M41" s="260"/>
      <c r="W41" s="132">
        <v>42741</v>
      </c>
      <c r="X41" s="10">
        <v>102.03</v>
      </c>
      <c r="Y41" s="10">
        <v>103.77</v>
      </c>
      <c r="Z41" s="10">
        <v>101.2</v>
      </c>
      <c r="AA41" s="10">
        <v>103.19</v>
      </c>
      <c r="AB41" s="94">
        <v>3862400</v>
      </c>
      <c r="AC41" s="10">
        <v>102.6</v>
      </c>
      <c r="AD41" s="2">
        <f t="shared" si="0"/>
        <v>2.5699999999999932</v>
      </c>
      <c r="AE41" s="137">
        <f t="shared" si="1"/>
        <v>1.0339734121122657E-2</v>
      </c>
    </row>
    <row r="42" spans="1:31" ht="20.25" thickBot="1" x14ac:dyDescent="0.35">
      <c r="A42" s="260"/>
      <c r="B42" s="265">
        <v>42213</v>
      </c>
      <c r="C42" s="260">
        <v>15</v>
      </c>
      <c r="D42" s="261">
        <v>94</v>
      </c>
      <c r="E42" s="261">
        <v>0</v>
      </c>
      <c r="F42" s="261">
        <f t="shared" si="2"/>
        <v>1410</v>
      </c>
      <c r="G42" s="260"/>
      <c r="H42" s="260"/>
      <c r="I42" s="261"/>
      <c r="J42" s="261"/>
      <c r="K42" s="261"/>
      <c r="L42" s="260"/>
      <c r="M42" s="260"/>
      <c r="T42" s="90" t="s">
        <v>113</v>
      </c>
      <c r="W42" s="132">
        <v>42740</v>
      </c>
      <c r="X42" s="10">
        <v>103.03</v>
      </c>
      <c r="Y42" s="10">
        <v>103.36</v>
      </c>
      <c r="Z42" s="10">
        <v>101.22</v>
      </c>
      <c r="AA42" s="10">
        <v>102.13</v>
      </c>
      <c r="AB42" s="94">
        <v>4180400</v>
      </c>
      <c r="AC42" s="10">
        <v>101.55</v>
      </c>
      <c r="AD42" s="2">
        <f t="shared" si="0"/>
        <v>2.1400000000000006</v>
      </c>
      <c r="AE42" s="137">
        <f t="shared" si="1"/>
        <v>-9.8478939157566892E-3</v>
      </c>
    </row>
    <row r="43" spans="1:31" ht="15.75" thickTop="1" x14ac:dyDescent="0.25">
      <c r="A43" s="260"/>
      <c r="B43" s="265">
        <v>42213</v>
      </c>
      <c r="C43" s="260">
        <v>15</v>
      </c>
      <c r="D43" s="261">
        <v>92.75</v>
      </c>
      <c r="E43" s="261">
        <v>0</v>
      </c>
      <c r="F43" s="261">
        <f t="shared" si="2"/>
        <v>1391.25</v>
      </c>
      <c r="G43" s="260"/>
      <c r="H43" s="260"/>
      <c r="I43" s="261"/>
      <c r="J43" s="261"/>
      <c r="K43" s="261"/>
      <c r="L43" s="260"/>
      <c r="M43" s="260"/>
      <c r="T43" s="96" t="s">
        <v>98</v>
      </c>
      <c r="U43" s="128">
        <v>121.77</v>
      </c>
      <c r="W43" s="132">
        <v>42739</v>
      </c>
      <c r="X43" s="10">
        <v>102.89</v>
      </c>
      <c r="Y43" s="10">
        <v>104.31</v>
      </c>
      <c r="Z43" s="10">
        <v>102.51</v>
      </c>
      <c r="AA43" s="10">
        <v>103.14</v>
      </c>
      <c r="AB43" s="94">
        <v>3668300</v>
      </c>
      <c r="AC43" s="10">
        <v>102.56</v>
      </c>
      <c r="AD43" s="2">
        <f t="shared" si="0"/>
        <v>1.7999999999999972</v>
      </c>
      <c r="AE43" s="137">
        <f t="shared" si="1"/>
        <v>6.0820090249167347E-3</v>
      </c>
    </row>
    <row r="44" spans="1:31" x14ac:dyDescent="0.25">
      <c r="A44" s="260"/>
      <c r="B44" s="265">
        <v>42226</v>
      </c>
      <c r="C44" s="260">
        <v>10</v>
      </c>
      <c r="D44" s="261">
        <v>94.99</v>
      </c>
      <c r="E44" s="261">
        <v>0</v>
      </c>
      <c r="F44" s="261">
        <f>C44*D44</f>
        <v>949.9</v>
      </c>
      <c r="G44" s="260"/>
      <c r="H44" s="260"/>
      <c r="I44" s="261"/>
      <c r="J44" s="261"/>
      <c r="K44" s="261"/>
      <c r="L44" s="260"/>
      <c r="M44" s="260"/>
      <c r="T44" s="86" t="s">
        <v>99</v>
      </c>
      <c r="U44" s="129">
        <v>121.93</v>
      </c>
      <c r="W44" s="132">
        <v>42738</v>
      </c>
      <c r="X44" s="10">
        <v>104.48</v>
      </c>
      <c r="Y44" s="10">
        <v>105.29</v>
      </c>
      <c r="Z44" s="10">
        <v>102.07</v>
      </c>
      <c r="AA44" s="10">
        <v>102.52</v>
      </c>
      <c r="AB44" s="94">
        <v>3824300</v>
      </c>
      <c r="AC44" s="10">
        <v>101.94</v>
      </c>
      <c r="AD44" s="2">
        <f t="shared" si="0"/>
        <v>3.2200000000000131</v>
      </c>
      <c r="AE44" s="137">
        <f t="shared" si="1"/>
        <v>-1.1155301193132239E-2</v>
      </c>
    </row>
    <row r="45" spans="1:31" x14ac:dyDescent="0.25">
      <c r="A45" s="260"/>
      <c r="B45" s="265">
        <v>42375</v>
      </c>
      <c r="C45" s="260">
        <v>30</v>
      </c>
      <c r="D45" s="261">
        <v>74.45</v>
      </c>
      <c r="E45" s="261">
        <v>0</v>
      </c>
      <c r="F45" s="261">
        <f>C45*D45</f>
        <v>2233.5</v>
      </c>
      <c r="G45" s="260"/>
      <c r="H45" s="260"/>
      <c r="I45" s="261"/>
      <c r="J45" s="261"/>
      <c r="K45" s="261"/>
      <c r="L45" s="260"/>
      <c r="M45" s="260"/>
      <c r="T45" s="86" t="s">
        <v>100</v>
      </c>
      <c r="U45" s="129" t="s">
        <v>129</v>
      </c>
      <c r="W45" s="132">
        <v>42734</v>
      </c>
      <c r="X45" s="10">
        <v>104.18</v>
      </c>
      <c r="Y45" s="10">
        <v>104.84</v>
      </c>
      <c r="Z45" s="10">
        <v>103.25</v>
      </c>
      <c r="AA45" s="10">
        <v>103.68</v>
      </c>
      <c r="AB45" s="94">
        <v>2914700</v>
      </c>
      <c r="AC45" s="10">
        <v>103.09</v>
      </c>
      <c r="AD45" s="2">
        <f t="shared" si="0"/>
        <v>1.5900000000000034</v>
      </c>
      <c r="AE45" s="137">
        <f t="shared" si="1"/>
        <v>-7.127034575748814E-3</v>
      </c>
    </row>
    <row r="46" spans="1:31" ht="20.25" thickBot="1" x14ac:dyDescent="0.3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703" t="s">
        <v>78</v>
      </c>
      <c r="P46" s="703"/>
      <c r="Q46" s="34"/>
      <c r="R46"/>
      <c r="T46" s="86" t="s">
        <v>101</v>
      </c>
      <c r="U46" s="129" t="s">
        <v>129</v>
      </c>
      <c r="W46" s="132">
        <v>42733</v>
      </c>
      <c r="X46" s="10">
        <v>104.88</v>
      </c>
      <c r="Y46" s="10">
        <v>105.25</v>
      </c>
      <c r="Z46" s="10">
        <v>103.99</v>
      </c>
      <c r="AA46" s="10">
        <v>104.42</v>
      </c>
      <c r="AB46" s="94">
        <v>2122900</v>
      </c>
      <c r="AC46" s="10">
        <v>103.83</v>
      </c>
      <c r="AD46" s="2">
        <f t="shared" si="0"/>
        <v>1.2600000000000051</v>
      </c>
      <c r="AE46" s="137">
        <f t="shared" si="1"/>
        <v>-3.2638955553422333E-3</v>
      </c>
    </row>
    <row r="47" spans="1:31" ht="15.75" thickTop="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82">
        <v>1.1000000000000001</v>
      </c>
      <c r="P47" s="82">
        <f>O47*$Q$4</f>
        <v>116.90800000000002</v>
      </c>
      <c r="Q47" s="34"/>
      <c r="R47"/>
      <c r="T47" s="86" t="s">
        <v>102</v>
      </c>
      <c r="U47" s="129">
        <v>118.75</v>
      </c>
      <c r="W47" s="132">
        <v>42732</v>
      </c>
      <c r="X47" s="10">
        <v>105.75</v>
      </c>
      <c r="Y47" s="10">
        <v>106.32</v>
      </c>
      <c r="Z47" s="10">
        <v>104.59</v>
      </c>
      <c r="AA47" s="10">
        <v>104.76</v>
      </c>
      <c r="AB47" s="94">
        <v>1799000</v>
      </c>
      <c r="AC47" s="10">
        <v>104.17</v>
      </c>
      <c r="AD47" s="2">
        <f t="shared" si="0"/>
        <v>1.7299999999999898</v>
      </c>
      <c r="AE47" s="137">
        <f t="shared" si="1"/>
        <v>-8.9430120825800818E-3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82">
        <v>1.0900000000000001</v>
      </c>
      <c r="P48" s="82">
        <f t="shared" ref="P48:P67" si="3">O48*$Q$4</f>
        <v>115.84520000000001</v>
      </c>
      <c r="Q48" s="34"/>
      <c r="R48"/>
      <c r="T48" s="86" t="s">
        <v>103</v>
      </c>
      <c r="U48" s="129">
        <v>1.4616</v>
      </c>
      <c r="W48" s="132">
        <v>42731</v>
      </c>
      <c r="X48" s="10">
        <v>105.51</v>
      </c>
      <c r="Y48" s="10">
        <v>105.93</v>
      </c>
      <c r="Z48" s="10">
        <v>105.21</v>
      </c>
      <c r="AA48" s="10">
        <v>105.71</v>
      </c>
      <c r="AB48" s="94">
        <v>1518200</v>
      </c>
      <c r="AC48" s="10">
        <v>105.11</v>
      </c>
      <c r="AD48" s="2">
        <f t="shared" si="0"/>
        <v>0.72000000000001307</v>
      </c>
      <c r="AE48" s="137">
        <f t="shared" si="1"/>
        <v>5.0678906100591892E-3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114.78240000000001</v>
      </c>
      <c r="Q49" s="34"/>
      <c r="R49"/>
      <c r="T49" s="86" t="s">
        <v>122</v>
      </c>
      <c r="U49" s="93" t="s">
        <v>415</v>
      </c>
      <c r="W49" s="132">
        <v>42727</v>
      </c>
      <c r="X49" s="10">
        <v>105.23</v>
      </c>
      <c r="Y49" s="10">
        <v>105.27</v>
      </c>
      <c r="Z49" s="10">
        <v>104.32</v>
      </c>
      <c r="AA49" s="10">
        <v>105.18</v>
      </c>
      <c r="AB49" s="94">
        <v>2146200</v>
      </c>
      <c r="AC49" s="10">
        <v>104.58</v>
      </c>
      <c r="AD49" s="2">
        <f t="shared" si="0"/>
        <v>0.95000000000000284</v>
      </c>
      <c r="AE49" s="137">
        <f t="shared" si="1"/>
        <v>-9.561143512770709E-5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82">
        <v>1.07</v>
      </c>
      <c r="P50" s="82">
        <f t="shared" si="3"/>
        <v>113.71960000000001</v>
      </c>
      <c r="Q50" s="82"/>
      <c r="R50"/>
      <c r="T50" s="86"/>
      <c r="U50" s="129"/>
      <c r="W50" s="132">
        <v>42726</v>
      </c>
      <c r="X50" s="10">
        <v>104.12</v>
      </c>
      <c r="Y50" s="10">
        <v>105.28</v>
      </c>
      <c r="Z50" s="10">
        <v>103.37</v>
      </c>
      <c r="AA50" s="10">
        <v>105.19</v>
      </c>
      <c r="AB50" s="94">
        <v>2994800</v>
      </c>
      <c r="AC50" s="10">
        <v>104.59</v>
      </c>
      <c r="AD50" s="2">
        <f t="shared" si="0"/>
        <v>1.9099999999999966</v>
      </c>
      <c r="AE50" s="137">
        <f t="shared" si="1"/>
        <v>5.093215452623534E-3</v>
      </c>
    </row>
    <row r="51" spans="1:31" x14ac:dyDescent="0.25">
      <c r="O51" s="82">
        <v>1.06</v>
      </c>
      <c r="P51" s="82">
        <f t="shared" si="3"/>
        <v>112.6568</v>
      </c>
      <c r="Q51" s="82"/>
      <c r="R51"/>
      <c r="T51" s="86" t="s">
        <v>105</v>
      </c>
      <c r="U51" s="129" t="s">
        <v>665</v>
      </c>
      <c r="W51" s="132">
        <v>42725</v>
      </c>
      <c r="X51" s="10">
        <v>104.7</v>
      </c>
      <c r="Y51" s="10">
        <v>105.55</v>
      </c>
      <c r="Z51" s="10">
        <v>104.05</v>
      </c>
      <c r="AA51" s="10">
        <v>104.65</v>
      </c>
      <c r="AB51" s="94">
        <v>2210900</v>
      </c>
      <c r="AC51" s="10">
        <v>104.06</v>
      </c>
      <c r="AD51" s="2">
        <f t="shared" si="0"/>
        <v>1.5</v>
      </c>
      <c r="AE51" s="137">
        <f t="shared" si="1"/>
        <v>0</v>
      </c>
    </row>
    <row r="52" spans="1:31" x14ac:dyDescent="0.25">
      <c r="O52" s="82">
        <v>1.05</v>
      </c>
      <c r="P52" s="82">
        <f t="shared" si="3"/>
        <v>111.59400000000001</v>
      </c>
      <c r="Q52" s="82"/>
      <c r="R52"/>
      <c r="T52" s="86" t="s">
        <v>106</v>
      </c>
      <c r="U52" s="129" t="s">
        <v>563</v>
      </c>
      <c r="W52" s="132">
        <v>42724</v>
      </c>
      <c r="X52" s="10">
        <v>103.81</v>
      </c>
      <c r="Y52" s="10">
        <v>104.77</v>
      </c>
      <c r="Z52" s="10">
        <v>103.54</v>
      </c>
      <c r="AA52" s="10">
        <v>104.65</v>
      </c>
      <c r="AB52" s="94">
        <v>3026700</v>
      </c>
      <c r="AC52" s="10">
        <v>104.06</v>
      </c>
      <c r="AD52" s="2">
        <f t="shared" si="0"/>
        <v>1.2299999999999898</v>
      </c>
      <c r="AE52" s="137">
        <f t="shared" si="1"/>
        <v>1.2158350355023773E-2</v>
      </c>
    </row>
    <row r="53" spans="1:31" x14ac:dyDescent="0.25">
      <c r="O53" s="82">
        <v>1.04</v>
      </c>
      <c r="P53" s="82">
        <f t="shared" si="3"/>
        <v>110.5312</v>
      </c>
      <c r="Q53" s="82"/>
      <c r="R53"/>
      <c r="T53" s="86" t="s">
        <v>107</v>
      </c>
      <c r="U53" s="130">
        <v>1792825</v>
      </c>
      <c r="W53" s="132">
        <v>42723</v>
      </c>
      <c r="X53" s="10">
        <v>103.08</v>
      </c>
      <c r="Y53" s="10">
        <v>103.89</v>
      </c>
      <c r="Z53" s="10">
        <v>102.63</v>
      </c>
      <c r="AA53" s="10">
        <v>103.4</v>
      </c>
      <c r="AB53" s="94">
        <v>2859400</v>
      </c>
      <c r="AC53" s="10">
        <v>102.81</v>
      </c>
      <c r="AD53" s="2">
        <f t="shared" si="0"/>
        <v>1.2600000000000051</v>
      </c>
      <c r="AE53" s="137">
        <f t="shared" si="1"/>
        <v>8.7616822429903429E-4</v>
      </c>
    </row>
    <row r="54" spans="1:31" x14ac:dyDescent="0.25">
      <c r="O54" s="82">
        <v>1.03</v>
      </c>
      <c r="P54" s="82">
        <f t="shared" si="3"/>
        <v>109.4684</v>
      </c>
      <c r="Q54" s="82"/>
      <c r="R54"/>
      <c r="T54" s="86" t="s">
        <v>110</v>
      </c>
      <c r="U54" s="130">
        <v>1960170</v>
      </c>
      <c r="W54" s="132">
        <v>42720</v>
      </c>
      <c r="X54" s="10">
        <v>104.74</v>
      </c>
      <c r="Y54" s="10">
        <v>104.97</v>
      </c>
      <c r="Z54" s="10">
        <v>103.05</v>
      </c>
      <c r="AA54" s="10">
        <v>103.31</v>
      </c>
      <c r="AB54" s="94">
        <v>6610300</v>
      </c>
      <c r="AC54" s="10">
        <v>102.72</v>
      </c>
      <c r="AD54" s="2">
        <f t="shared" si="0"/>
        <v>1.9200000000000017</v>
      </c>
      <c r="AE54" s="137">
        <f t="shared" si="1"/>
        <v>-1.3161687001633227E-2</v>
      </c>
    </row>
    <row r="55" spans="1:31" x14ac:dyDescent="0.25">
      <c r="O55" s="82">
        <v>1.02</v>
      </c>
      <c r="P55" s="82">
        <f t="shared" si="3"/>
        <v>108.40560000000001</v>
      </c>
      <c r="Q55" s="82"/>
      <c r="R55"/>
      <c r="T55" s="86" t="s">
        <v>108</v>
      </c>
      <c r="U55" s="129" t="s">
        <v>666</v>
      </c>
      <c r="W55" s="132">
        <v>42719</v>
      </c>
      <c r="X55" s="10">
        <v>102.98</v>
      </c>
      <c r="Y55" s="10">
        <v>104.94</v>
      </c>
      <c r="Z55" s="10">
        <v>102.51</v>
      </c>
      <c r="AA55" s="10">
        <v>104.68</v>
      </c>
      <c r="AB55" s="94">
        <v>4479800</v>
      </c>
      <c r="AC55" s="10">
        <v>104.09</v>
      </c>
      <c r="AD55" s="2">
        <f t="shared" si="0"/>
        <v>2.4299999999999926</v>
      </c>
      <c r="AE55" s="137">
        <f t="shared" si="1"/>
        <v>1.8094679186228646E-2</v>
      </c>
    </row>
    <row r="56" spans="1:31" x14ac:dyDescent="0.25">
      <c r="O56" s="82">
        <v>1.01</v>
      </c>
      <c r="P56" s="82">
        <f t="shared" si="3"/>
        <v>107.3428</v>
      </c>
      <c r="Q56" s="82"/>
      <c r="R56"/>
      <c r="T56" s="86" t="s">
        <v>111</v>
      </c>
      <c r="U56" s="129">
        <v>21.77</v>
      </c>
      <c r="W56" s="132">
        <v>42718</v>
      </c>
      <c r="X56" s="10">
        <v>104.25</v>
      </c>
      <c r="Y56" s="10">
        <v>104.83</v>
      </c>
      <c r="Z56" s="10">
        <v>102.67</v>
      </c>
      <c r="AA56" s="10">
        <v>102.82</v>
      </c>
      <c r="AB56" s="94">
        <v>3549600</v>
      </c>
      <c r="AC56" s="10">
        <v>102.24</v>
      </c>
      <c r="AD56" s="2">
        <f t="shared" si="0"/>
        <v>2.1599999999999966</v>
      </c>
      <c r="AE56" s="137">
        <f t="shared" si="1"/>
        <v>-1.169647172547128E-2</v>
      </c>
    </row>
    <row r="57" spans="1:31" x14ac:dyDescent="0.25">
      <c r="O57" s="82">
        <v>1</v>
      </c>
      <c r="P57" s="82">
        <f t="shared" si="3"/>
        <v>106.28</v>
      </c>
      <c r="Q57" s="82"/>
      <c r="R57"/>
      <c r="T57" s="86" t="s">
        <v>112</v>
      </c>
      <c r="U57" s="129">
        <v>5.62</v>
      </c>
      <c r="W57" s="132">
        <v>42717</v>
      </c>
      <c r="X57" s="10">
        <v>104.59</v>
      </c>
      <c r="Y57" s="10">
        <v>104.74</v>
      </c>
      <c r="Z57" s="10">
        <v>103.12</v>
      </c>
      <c r="AA57" s="10">
        <v>104.04</v>
      </c>
      <c r="AB57" s="94">
        <v>4144300</v>
      </c>
      <c r="AC57" s="10">
        <v>103.45</v>
      </c>
      <c r="AD57" s="2">
        <f t="shared" si="0"/>
        <v>1.6199999999999903</v>
      </c>
      <c r="AE57" s="137">
        <f t="shared" si="1"/>
        <v>-2.6993155307046823E-3</v>
      </c>
    </row>
    <row r="58" spans="1:31" x14ac:dyDescent="0.25">
      <c r="O58" s="82">
        <v>0.99</v>
      </c>
      <c r="P58" s="82">
        <f t="shared" si="3"/>
        <v>105.21720000000001</v>
      </c>
      <c r="Q58" s="82"/>
      <c r="R58"/>
      <c r="T58" s="86" t="s">
        <v>109</v>
      </c>
      <c r="U58" s="129" t="s">
        <v>667</v>
      </c>
      <c r="W58" s="132">
        <v>42716</v>
      </c>
      <c r="X58" s="10">
        <v>105.33</v>
      </c>
      <c r="Y58" s="10">
        <v>105.33</v>
      </c>
      <c r="Z58" s="10">
        <v>102.91</v>
      </c>
      <c r="AA58" s="10">
        <v>104.32</v>
      </c>
      <c r="AB58" s="94">
        <v>4136500</v>
      </c>
      <c r="AC58" s="10">
        <v>103.73</v>
      </c>
      <c r="AD58" s="2">
        <f t="shared" si="0"/>
        <v>2.4200000000000017</v>
      </c>
      <c r="AE58" s="137">
        <f t="shared" si="1"/>
        <v>-6.322444678608985E-3</v>
      </c>
    </row>
    <row r="59" spans="1:31" x14ac:dyDescent="0.25">
      <c r="O59" s="82">
        <v>0.98</v>
      </c>
      <c r="P59" s="82">
        <f t="shared" si="3"/>
        <v>104.1544</v>
      </c>
      <c r="Q59" s="82"/>
      <c r="R59"/>
      <c r="W59" s="132">
        <v>42713</v>
      </c>
      <c r="X59" s="10">
        <v>104.89</v>
      </c>
      <c r="Y59" s="10">
        <v>105.48</v>
      </c>
      <c r="Z59" s="10">
        <v>104.03</v>
      </c>
      <c r="AA59" s="10">
        <v>104.99</v>
      </c>
      <c r="AB59" s="94">
        <v>4098800</v>
      </c>
      <c r="AC59" s="10">
        <v>104.39</v>
      </c>
      <c r="AD59" s="2">
        <f t="shared" si="0"/>
        <v>1.4500000000000028</v>
      </c>
      <c r="AE59" s="137">
        <f t="shared" si="1"/>
        <v>-3.6269924596735725E-3</v>
      </c>
    </row>
    <row r="60" spans="1:31" x14ac:dyDescent="0.25">
      <c r="O60" s="82">
        <v>0.97</v>
      </c>
      <c r="P60" s="82">
        <f t="shared" si="3"/>
        <v>103.0916</v>
      </c>
      <c r="Q60" s="82"/>
      <c r="R60"/>
      <c r="W60" s="132">
        <v>42712</v>
      </c>
      <c r="X60" s="10">
        <v>106.32</v>
      </c>
      <c r="Y60" s="10">
        <v>106.62</v>
      </c>
      <c r="Z60" s="10">
        <v>104.74</v>
      </c>
      <c r="AA60" s="10">
        <v>105.37</v>
      </c>
      <c r="AB60" s="94">
        <v>3862000</v>
      </c>
      <c r="AC60" s="10">
        <v>104.77</v>
      </c>
      <c r="AD60" s="2">
        <f t="shared" si="0"/>
        <v>1.8800000000000097</v>
      </c>
      <c r="AE60" s="137">
        <f t="shared" si="1"/>
        <v>-9.0797313912797106E-3</v>
      </c>
    </row>
    <row r="61" spans="1:31" x14ac:dyDescent="0.25">
      <c r="O61" s="82">
        <v>0.96</v>
      </c>
      <c r="P61" s="82">
        <f t="shared" si="3"/>
        <v>102.0288</v>
      </c>
      <c r="Q61" s="82"/>
      <c r="R61"/>
      <c r="W61" s="132">
        <v>42711</v>
      </c>
      <c r="X61" s="10">
        <v>103.49</v>
      </c>
      <c r="Y61" s="10">
        <v>106.5</v>
      </c>
      <c r="Z61" s="10">
        <v>102.72</v>
      </c>
      <c r="AA61" s="10">
        <v>106.33</v>
      </c>
      <c r="AB61" s="94">
        <v>4936100</v>
      </c>
      <c r="AC61" s="10">
        <v>105.73</v>
      </c>
      <c r="AD61" s="2">
        <f t="shared" si="0"/>
        <v>3.7800000000000011</v>
      </c>
      <c r="AE61" s="137">
        <f t="shared" si="1"/>
        <v>3.0808228526859827E-2</v>
      </c>
    </row>
    <row r="62" spans="1:31" x14ac:dyDescent="0.25">
      <c r="O62" s="82">
        <v>0.95</v>
      </c>
      <c r="P62" s="82">
        <f t="shared" si="3"/>
        <v>100.96599999999999</v>
      </c>
      <c r="Q62" s="82"/>
      <c r="R62"/>
      <c r="W62" s="132">
        <v>42710</v>
      </c>
      <c r="X62" s="10">
        <v>103</v>
      </c>
      <c r="Y62" s="10">
        <v>103.31</v>
      </c>
      <c r="Z62" s="10">
        <v>102.3</v>
      </c>
      <c r="AA62" s="10">
        <v>103.15</v>
      </c>
      <c r="AB62" s="94">
        <v>3228400</v>
      </c>
      <c r="AC62" s="10">
        <v>102.57</v>
      </c>
      <c r="AD62" s="2">
        <f t="shared" si="0"/>
        <v>1.0100000000000051</v>
      </c>
      <c r="AE62" s="137">
        <f t="shared" si="1"/>
        <v>3.0314883629962708E-3</v>
      </c>
    </row>
    <row r="63" spans="1:31" x14ac:dyDescent="0.25">
      <c r="O63" s="82">
        <v>0.94</v>
      </c>
      <c r="P63" s="82">
        <f t="shared" si="3"/>
        <v>99.903199999999998</v>
      </c>
      <c r="Q63" s="82"/>
      <c r="R63"/>
      <c r="T63" s="85"/>
      <c r="W63" s="132">
        <v>42709</v>
      </c>
      <c r="X63" s="10">
        <v>103.32</v>
      </c>
      <c r="Y63" s="10">
        <v>103.75</v>
      </c>
      <c r="Z63" s="10">
        <v>102.81</v>
      </c>
      <c r="AA63" s="10">
        <v>102.84</v>
      </c>
      <c r="AB63" s="94">
        <v>3459300</v>
      </c>
      <c r="AC63" s="10">
        <v>102.26</v>
      </c>
      <c r="AD63" s="2">
        <f t="shared" si="0"/>
        <v>0.93999999999999773</v>
      </c>
      <c r="AE63" s="137">
        <f t="shared" si="1"/>
        <v>1.8614676202606262E-3</v>
      </c>
    </row>
    <row r="64" spans="1:31" x14ac:dyDescent="0.25">
      <c r="O64" s="82">
        <v>0.93</v>
      </c>
      <c r="P64" s="82">
        <f t="shared" si="3"/>
        <v>98.840400000000002</v>
      </c>
      <c r="Q64" s="82"/>
      <c r="R64"/>
      <c r="S64" s="85"/>
      <c r="T64"/>
      <c r="W64" s="132">
        <v>42706</v>
      </c>
      <c r="X64" s="10">
        <v>103.38</v>
      </c>
      <c r="Y64" s="10">
        <v>103.6</v>
      </c>
      <c r="Z64" s="10">
        <v>102.02</v>
      </c>
      <c r="AA64" s="10">
        <v>102.65</v>
      </c>
      <c r="AB64" s="94">
        <v>3511000</v>
      </c>
      <c r="AC64" s="10">
        <v>102.07</v>
      </c>
      <c r="AD64" s="2">
        <f t="shared" si="0"/>
        <v>1.5799999999999983</v>
      </c>
      <c r="AE64" s="137">
        <f t="shared" si="1"/>
        <v>-7.1011673151751831E-3</v>
      </c>
    </row>
    <row r="65" spans="15:31" x14ac:dyDescent="0.25">
      <c r="O65" s="82">
        <v>0.92</v>
      </c>
      <c r="P65" s="82">
        <f t="shared" si="3"/>
        <v>97.777600000000007</v>
      </c>
      <c r="Q65" s="82"/>
      <c r="R65"/>
      <c r="S65" s="85"/>
      <c r="T65"/>
      <c r="W65" s="132">
        <v>42705</v>
      </c>
      <c r="X65" s="10">
        <v>101.84</v>
      </c>
      <c r="Y65" s="10">
        <v>103.96</v>
      </c>
      <c r="Z65" s="10">
        <v>101.61</v>
      </c>
      <c r="AA65" s="10">
        <v>103.39</v>
      </c>
      <c r="AB65" s="94">
        <v>4748200</v>
      </c>
      <c r="AC65" s="10">
        <v>102.8</v>
      </c>
      <c r="AD65" s="2">
        <f t="shared" si="0"/>
        <v>2.3499999999999943</v>
      </c>
      <c r="AE65" s="137">
        <f t="shared" si="1"/>
        <v>2.024612941643511E-2</v>
      </c>
    </row>
    <row r="66" spans="15:31" x14ac:dyDescent="0.25">
      <c r="O66" s="82">
        <v>0.91</v>
      </c>
      <c r="P66" s="82">
        <f t="shared" si="3"/>
        <v>96.714800000000011</v>
      </c>
      <c r="Q66" s="82"/>
      <c r="R66"/>
      <c r="S66" s="85"/>
      <c r="T66"/>
      <c r="W66" s="132">
        <v>42704</v>
      </c>
      <c r="X66" s="10">
        <v>101.36</v>
      </c>
      <c r="Y66" s="10">
        <v>102.73</v>
      </c>
      <c r="Z66" s="10">
        <v>101.26</v>
      </c>
      <c r="AA66" s="10">
        <v>101.33</v>
      </c>
      <c r="AB66" s="94">
        <v>6190700</v>
      </c>
      <c r="AC66" s="10">
        <v>100.76</v>
      </c>
      <c r="AD66" s="2">
        <f t="shared" si="0"/>
        <v>1.4699999999999989</v>
      </c>
      <c r="AE66" s="137">
        <f t="shared" si="1"/>
        <v>7.6000000000000512E-3</v>
      </c>
    </row>
    <row r="67" spans="15:31" x14ac:dyDescent="0.25">
      <c r="O67" s="82">
        <v>0.9</v>
      </c>
      <c r="P67" s="82">
        <f t="shared" si="3"/>
        <v>95.652000000000001</v>
      </c>
      <c r="Q67" s="82"/>
      <c r="R67"/>
      <c r="S67" s="85"/>
      <c r="T67"/>
      <c r="W67" s="132">
        <v>42703</v>
      </c>
      <c r="X67" s="10">
        <v>100.53</v>
      </c>
      <c r="Y67" s="10">
        <v>101.05</v>
      </c>
      <c r="Z67" s="10">
        <v>100.1</v>
      </c>
      <c r="AA67" s="10">
        <v>100.57</v>
      </c>
      <c r="AB67" s="94">
        <v>2945900</v>
      </c>
      <c r="AC67" s="10">
        <v>100</v>
      </c>
      <c r="AD67" s="2">
        <f>Y67-Z67</f>
        <v>0.95000000000000284</v>
      </c>
      <c r="AE67" s="137">
        <f>AC67/AC68-1</f>
        <v>-1.198561725928915E-3</v>
      </c>
    </row>
    <row r="68" spans="15:31" x14ac:dyDescent="0.25">
      <c r="W68" s="132">
        <v>42702</v>
      </c>
      <c r="X68" s="10">
        <v>101.32</v>
      </c>
      <c r="Y68" s="10">
        <v>101.39</v>
      </c>
      <c r="Z68" s="10">
        <v>100.43</v>
      </c>
      <c r="AA68" s="10">
        <v>100.69</v>
      </c>
      <c r="AB68" s="94">
        <v>3533800</v>
      </c>
      <c r="AC68" s="10">
        <v>100.12</v>
      </c>
      <c r="AD68" s="2">
        <f>Y68-Z68</f>
        <v>0.95999999999999375</v>
      </c>
      <c r="AE68" s="137" t="e">
        <f>AC68/AC70-1</f>
        <v>#DIV/0!</v>
      </c>
    </row>
    <row r="69" spans="15:31" x14ac:dyDescent="0.25">
      <c r="W69" s="132">
        <v>42702</v>
      </c>
      <c r="X69" s="10" t="s">
        <v>328</v>
      </c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15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51" priority="11">
      <formula>F24&gt;0</formula>
    </cfRule>
    <cfRule type="expression" dxfId="550" priority="12">
      <formula>F24&lt;0</formula>
    </cfRule>
  </conditionalFormatting>
  <conditionalFormatting sqref="H27:H30">
    <cfRule type="expression" dxfId="549" priority="9">
      <formula>H27&gt;0</formula>
    </cfRule>
    <cfRule type="expression" dxfId="548" priority="10">
      <formula>H27&lt;0</formula>
    </cfRule>
  </conditionalFormatting>
  <conditionalFormatting sqref="F25">
    <cfRule type="expression" dxfId="547" priority="7">
      <formula>F25&gt;0</formula>
    </cfRule>
    <cfRule type="expression" dxfId="546" priority="8">
      <formula>F25&lt;0</formula>
    </cfRule>
  </conditionalFormatting>
  <conditionalFormatting sqref="H24:H26">
    <cfRule type="expression" dxfId="545" priority="5">
      <formula>H24&gt;0</formula>
    </cfRule>
    <cfRule type="expression" dxfId="544" priority="6">
      <formula>H24&lt;0</formula>
    </cfRule>
  </conditionalFormatting>
  <conditionalFormatting sqref="Q7">
    <cfRule type="expression" dxfId="543" priority="3">
      <formula>Q7&gt;0</formula>
    </cfRule>
    <cfRule type="expression" dxfId="542" priority="4">
      <formula>Q7&lt;0</formula>
    </cfRule>
  </conditionalFormatting>
  <conditionalFormatting sqref="Q8">
    <cfRule type="expression" dxfId="541" priority="1">
      <formula>Q8&gt;0</formula>
    </cfRule>
    <cfRule type="expression" dxfId="54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279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42797</v>
      </c>
      <c r="X2" s="362">
        <v>51</v>
      </c>
      <c r="Y2" s="40">
        <v>51</v>
      </c>
      <c r="Z2" s="40">
        <v>49.79</v>
      </c>
      <c r="AA2" s="362">
        <v>50.11</v>
      </c>
      <c r="AB2" s="94">
        <v>849100</v>
      </c>
      <c r="AC2" s="242">
        <v>50.11</v>
      </c>
      <c r="AD2" s="2">
        <f>Y2-Z2</f>
        <v>1.2100000000000009</v>
      </c>
      <c r="AE2" s="137">
        <f>AC2/AC3-1</f>
        <v>-1.7065515888583738E-2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51.1</v>
      </c>
      <c r="T3" s="120"/>
      <c r="W3" s="93">
        <v>42796</v>
      </c>
      <c r="X3" s="362">
        <v>50.79</v>
      </c>
      <c r="Y3" s="40">
        <v>51.25</v>
      </c>
      <c r="Z3" s="40">
        <v>50.63</v>
      </c>
      <c r="AA3" s="362">
        <v>50.98</v>
      </c>
      <c r="AB3" s="94">
        <v>878700</v>
      </c>
      <c r="AC3" s="242">
        <v>50.98</v>
      </c>
      <c r="AD3" s="2">
        <f>Y3-Z3</f>
        <v>0.61999999999999744</v>
      </c>
      <c r="AE3" s="137">
        <f>AC3/AC4-1</f>
        <v>-1.3712047012732764E-3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51.1</v>
      </c>
      <c r="R4" s="518">
        <v>2.3599999999999999E-2</v>
      </c>
      <c r="T4" s="120"/>
      <c r="W4" s="93">
        <v>42795</v>
      </c>
      <c r="X4" s="362">
        <v>51.12</v>
      </c>
      <c r="Y4" s="40">
        <v>51.61</v>
      </c>
      <c r="Z4" s="40">
        <v>50.42</v>
      </c>
      <c r="AA4" s="362">
        <v>51.05</v>
      </c>
      <c r="AB4" s="94">
        <v>1192400</v>
      </c>
      <c r="AC4" s="242">
        <v>51.05</v>
      </c>
      <c r="AD4" s="2">
        <f t="shared" ref="AD4:AD67" si="0">Y4-Z4</f>
        <v>1.1899999999999977</v>
      </c>
      <c r="AE4" s="137">
        <f t="shared" ref="AE4:AE67" si="1">AC4/AC5-1</f>
        <v>6.9033530571991353E-3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42794</v>
      </c>
      <c r="X5" s="362">
        <v>50.82</v>
      </c>
      <c r="Y5" s="40">
        <v>51.2</v>
      </c>
      <c r="Z5" s="40">
        <v>50.45</v>
      </c>
      <c r="AA5" s="362">
        <v>50.7</v>
      </c>
      <c r="AB5" s="94">
        <v>932200</v>
      </c>
      <c r="AC5" s="242">
        <v>50.7</v>
      </c>
      <c r="AD5" s="2">
        <f t="shared" si="0"/>
        <v>0.75</v>
      </c>
      <c r="AE5" s="137">
        <f t="shared" si="1"/>
        <v>-1.378766988379021E-3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42793</v>
      </c>
      <c r="X6" s="362">
        <v>49.93</v>
      </c>
      <c r="Y6" s="40">
        <v>50.83</v>
      </c>
      <c r="Z6" s="40">
        <v>49.57</v>
      </c>
      <c r="AA6" s="362">
        <v>50.77</v>
      </c>
      <c r="AB6" s="94">
        <v>1326600</v>
      </c>
      <c r="AC6" s="242">
        <v>50.77</v>
      </c>
      <c r="AD6" s="2">
        <f t="shared" si="0"/>
        <v>1.259999999999998</v>
      </c>
      <c r="AE6" s="137">
        <f t="shared" si="1"/>
        <v>1.4994002399040474E-2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42790</v>
      </c>
      <c r="X7" s="362">
        <v>50.51</v>
      </c>
      <c r="Y7" s="40">
        <v>50.63</v>
      </c>
      <c r="Z7" s="40">
        <v>49.77</v>
      </c>
      <c r="AA7" s="362">
        <v>50.02</v>
      </c>
      <c r="AB7" s="94">
        <v>1442900</v>
      </c>
      <c r="AC7" s="242">
        <v>50.02</v>
      </c>
      <c r="AD7" s="2">
        <f t="shared" si="0"/>
        <v>0.85999999999999943</v>
      </c>
      <c r="AE7" s="137">
        <f t="shared" si="1"/>
        <v>-1.3022888713496328E-2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42789</v>
      </c>
      <c r="X8" s="362">
        <v>52.48</v>
      </c>
      <c r="Y8" s="40">
        <v>52.5</v>
      </c>
      <c r="Z8" s="40">
        <v>50.61</v>
      </c>
      <c r="AA8" s="362">
        <v>50.68</v>
      </c>
      <c r="AB8" s="94">
        <v>1869800</v>
      </c>
      <c r="AC8" s="242">
        <v>50.68</v>
      </c>
      <c r="AD8" s="2">
        <f t="shared" si="0"/>
        <v>1.8900000000000006</v>
      </c>
      <c r="AE8" s="137">
        <f t="shared" si="1"/>
        <v>-1.8590240123934954E-2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42788</v>
      </c>
      <c r="X9" s="362">
        <v>49.24</v>
      </c>
      <c r="Y9" s="40">
        <v>52.14</v>
      </c>
      <c r="Z9" s="40">
        <v>48.68</v>
      </c>
      <c r="AA9" s="362">
        <v>51.64</v>
      </c>
      <c r="AB9" s="94">
        <v>4043000</v>
      </c>
      <c r="AC9" s="242">
        <v>51.64</v>
      </c>
      <c r="AD9" s="2">
        <f t="shared" si="0"/>
        <v>3.4600000000000009</v>
      </c>
      <c r="AE9" s="137">
        <f t="shared" si="1"/>
        <v>7.1369294605809097E-2</v>
      </c>
      <c r="AK9" s="233"/>
      <c r="AN9" s="233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42787</v>
      </c>
      <c r="X10" s="362">
        <v>47.74</v>
      </c>
      <c r="Y10" s="40">
        <v>48.52</v>
      </c>
      <c r="Z10" s="40">
        <v>47.74</v>
      </c>
      <c r="AA10" s="362">
        <v>48.2</v>
      </c>
      <c r="AB10" s="94">
        <v>1801900</v>
      </c>
      <c r="AC10" s="242">
        <v>48.2</v>
      </c>
      <c r="AD10" s="2">
        <f t="shared" si="0"/>
        <v>0.78000000000000114</v>
      </c>
      <c r="AE10" s="137">
        <f t="shared" si="1"/>
        <v>1.0694065841895695E-2</v>
      </c>
    </row>
    <row r="11" spans="1:40" x14ac:dyDescent="0.25">
      <c r="O11" s="11" t="s">
        <v>178</v>
      </c>
      <c r="Q11" s="137">
        <v>0</v>
      </c>
      <c r="W11" s="93">
        <v>42783</v>
      </c>
      <c r="X11" s="362">
        <v>47.62</v>
      </c>
      <c r="Y11" s="40">
        <v>47.85</v>
      </c>
      <c r="Z11" s="40">
        <v>47.27</v>
      </c>
      <c r="AA11" s="362">
        <v>47.69</v>
      </c>
      <c r="AB11" s="94">
        <v>1653700</v>
      </c>
      <c r="AC11" s="242">
        <v>47.69</v>
      </c>
      <c r="AD11" s="2">
        <f t="shared" si="0"/>
        <v>0.57999999999999829</v>
      </c>
      <c r="AE11" s="137">
        <f t="shared" si="1"/>
        <v>1.259710266638514E-3</v>
      </c>
      <c r="AK11" s="233"/>
      <c r="AN11" s="233"/>
    </row>
    <row r="12" spans="1:40" x14ac:dyDescent="0.25">
      <c r="W12" s="93">
        <v>42782</v>
      </c>
      <c r="X12" s="362">
        <v>47.95</v>
      </c>
      <c r="Y12" s="40">
        <v>48.14</v>
      </c>
      <c r="Z12" s="40">
        <v>47.24</v>
      </c>
      <c r="AA12" s="362">
        <v>47.63</v>
      </c>
      <c r="AB12" s="94">
        <v>1236300</v>
      </c>
      <c r="AC12" s="242">
        <v>47.63</v>
      </c>
      <c r="AD12" s="2">
        <f t="shared" si="0"/>
        <v>0.89999999999999858</v>
      </c>
      <c r="AE12" s="137">
        <f t="shared" si="1"/>
        <v>-6.0517529215359245E-3</v>
      </c>
    </row>
    <row r="13" spans="1:40" x14ac:dyDescent="0.25">
      <c r="W13" s="93">
        <v>42781</v>
      </c>
      <c r="X13" s="362">
        <v>47.66</v>
      </c>
      <c r="Y13" s="40">
        <v>48.12</v>
      </c>
      <c r="Z13" s="40">
        <v>47.01</v>
      </c>
      <c r="AA13" s="362">
        <v>47.92</v>
      </c>
      <c r="AB13" s="94">
        <v>1463000</v>
      </c>
      <c r="AC13" s="242">
        <v>47.92</v>
      </c>
      <c r="AD13" s="2">
        <f t="shared" si="0"/>
        <v>1.1099999999999994</v>
      </c>
      <c r="AE13" s="137">
        <f t="shared" si="1"/>
        <v>3.1400460540087494E-3</v>
      </c>
      <c r="AK13" s="233"/>
      <c r="AN13" s="233"/>
    </row>
    <row r="14" spans="1:40" x14ac:dyDescent="0.25">
      <c r="T14" s="83"/>
      <c r="U14" s="11"/>
      <c r="W14" s="93">
        <v>42780</v>
      </c>
      <c r="X14" s="362">
        <v>47.82</v>
      </c>
      <c r="Y14" s="40">
        <v>47.97</v>
      </c>
      <c r="Z14" s="40">
        <v>47.58</v>
      </c>
      <c r="AA14" s="362">
        <v>47.77</v>
      </c>
      <c r="AB14" s="94">
        <v>1048700</v>
      </c>
      <c r="AC14" s="242">
        <v>47.77</v>
      </c>
      <c r="AD14" s="2">
        <f t="shared" si="0"/>
        <v>0.39000000000000057</v>
      </c>
      <c r="AE14" s="137">
        <f t="shared" si="1"/>
        <v>-2.088991017338504E-3</v>
      </c>
    </row>
    <row r="15" spans="1:40" x14ac:dyDescent="0.25">
      <c r="W15" s="93">
        <v>42779</v>
      </c>
      <c r="X15" s="362">
        <v>48.02</v>
      </c>
      <c r="Y15" s="40">
        <v>48.1</v>
      </c>
      <c r="Z15" s="40">
        <v>47.56</v>
      </c>
      <c r="AA15" s="362">
        <v>47.87</v>
      </c>
      <c r="AB15" s="94">
        <v>1449900</v>
      </c>
      <c r="AC15" s="242">
        <v>47.87</v>
      </c>
      <c r="AD15" s="2">
        <f t="shared" si="0"/>
        <v>0.53999999999999915</v>
      </c>
      <c r="AE15" s="137">
        <f t="shared" si="1"/>
        <v>1.4644351464434546E-3</v>
      </c>
      <c r="AK15" s="233"/>
      <c r="AN15" s="233"/>
    </row>
    <row r="16" spans="1:40" x14ac:dyDescent="0.25">
      <c r="W16" s="93">
        <v>42776</v>
      </c>
      <c r="X16" s="362">
        <v>48.43</v>
      </c>
      <c r="Y16" s="40">
        <v>48.91</v>
      </c>
      <c r="Z16" s="40">
        <v>47.54</v>
      </c>
      <c r="AA16" s="362">
        <v>47.8</v>
      </c>
      <c r="AB16" s="94">
        <v>1611000</v>
      </c>
      <c r="AC16" s="242">
        <v>47.8</v>
      </c>
      <c r="AD16" s="2">
        <f t="shared" si="0"/>
        <v>1.3699999999999974</v>
      </c>
      <c r="AE16" s="137">
        <f t="shared" si="1"/>
        <v>-5.4099042863089419E-3</v>
      </c>
    </row>
    <row r="17" spans="1:40" x14ac:dyDescent="0.25">
      <c r="W17" s="93">
        <v>42775</v>
      </c>
      <c r="X17" s="362">
        <v>47.81</v>
      </c>
      <c r="Y17" s="40">
        <v>48.31</v>
      </c>
      <c r="Z17" s="40">
        <v>47.7</v>
      </c>
      <c r="AA17" s="362">
        <v>48.06</v>
      </c>
      <c r="AB17" s="94">
        <v>1249200</v>
      </c>
      <c r="AC17" s="242">
        <v>48.06</v>
      </c>
      <c r="AD17" s="2">
        <f t="shared" si="0"/>
        <v>0.60999999999999943</v>
      </c>
      <c r="AE17" s="137">
        <f t="shared" si="1"/>
        <v>4.1788549937318287E-3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42774</v>
      </c>
      <c r="X18" s="362">
        <v>47.88</v>
      </c>
      <c r="Y18" s="40">
        <v>48.14</v>
      </c>
      <c r="Z18" s="40">
        <v>47.51</v>
      </c>
      <c r="AA18" s="362">
        <v>47.86</v>
      </c>
      <c r="AB18" s="94">
        <v>1065800</v>
      </c>
      <c r="AC18" s="242">
        <v>47.86</v>
      </c>
      <c r="AD18" s="2">
        <f t="shared" si="0"/>
        <v>0.63000000000000256</v>
      </c>
      <c r="AE18" s="137">
        <f t="shared" si="1"/>
        <v>3.3542976939202607E-3</v>
      </c>
    </row>
    <row r="19" spans="1:40" x14ac:dyDescent="0.25">
      <c r="W19" s="93">
        <v>42773</v>
      </c>
      <c r="X19" s="362">
        <v>47.58</v>
      </c>
      <c r="Y19" s="40">
        <v>48.09</v>
      </c>
      <c r="Z19" s="40">
        <v>47.47</v>
      </c>
      <c r="AA19" s="362">
        <v>47.7</v>
      </c>
      <c r="AB19" s="94">
        <v>1477200</v>
      </c>
      <c r="AC19" s="242">
        <v>47.7</v>
      </c>
      <c r="AD19" s="2">
        <f t="shared" si="0"/>
        <v>0.62000000000000455</v>
      </c>
      <c r="AE19" s="137">
        <f t="shared" si="1"/>
        <v>3.7878787878786735E-3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42772</v>
      </c>
      <c r="X20" s="362">
        <v>47.76</v>
      </c>
      <c r="Y20" s="40">
        <v>48.02</v>
      </c>
      <c r="Z20" s="40">
        <v>47.28</v>
      </c>
      <c r="AA20" s="362">
        <v>47.52</v>
      </c>
      <c r="AB20" s="94">
        <v>1139100</v>
      </c>
      <c r="AC20" s="242">
        <v>47.52</v>
      </c>
      <c r="AD20" s="2">
        <f t="shared" si="0"/>
        <v>0.74000000000000199</v>
      </c>
      <c r="AE20" s="137">
        <f t="shared" si="1"/>
        <v>-4.6082949308755561E-3</v>
      </c>
    </row>
    <row r="21" spans="1:40" x14ac:dyDescent="0.25">
      <c r="B21" s="192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0">
        <f t="shared" ref="H21:H26" si="4">(E21-D21)/D21</f>
        <v>-5.190311418685113E-3</v>
      </c>
      <c r="I21" s="40"/>
      <c r="W21" s="93">
        <v>42769</v>
      </c>
      <c r="X21" s="362">
        <v>48.13</v>
      </c>
      <c r="Y21" s="40">
        <v>48.36</v>
      </c>
      <c r="Z21" s="40">
        <v>47.41</v>
      </c>
      <c r="AA21" s="362">
        <v>47.74</v>
      </c>
      <c r="AB21" s="94">
        <v>760800</v>
      </c>
      <c r="AC21" s="242">
        <v>47.74</v>
      </c>
      <c r="AD21" s="2">
        <f t="shared" si="0"/>
        <v>0.95000000000000284</v>
      </c>
      <c r="AE21" s="137">
        <f t="shared" si="1"/>
        <v>1.6785564414605325E-3</v>
      </c>
      <c r="AK21" s="233"/>
      <c r="AN21" s="233"/>
    </row>
    <row r="22" spans="1:40" x14ac:dyDescent="0.25">
      <c r="B22" s="192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0">
        <f t="shared" si="4"/>
        <v>3.085351787773934E-2</v>
      </c>
      <c r="I22" s="40"/>
      <c r="W22" s="93">
        <v>42768</v>
      </c>
      <c r="X22" s="362">
        <v>48.17</v>
      </c>
      <c r="Y22" s="40">
        <v>48.5</v>
      </c>
      <c r="Z22" s="40">
        <v>47.55</v>
      </c>
      <c r="AA22" s="362">
        <v>47.66</v>
      </c>
      <c r="AB22" s="94">
        <v>694700</v>
      </c>
      <c r="AC22" s="242">
        <v>47.66</v>
      </c>
      <c r="AD22" s="2">
        <f t="shared" si="0"/>
        <v>0.95000000000000284</v>
      </c>
      <c r="AE22" s="137">
        <f t="shared" si="1"/>
        <v>-8.7354409317803583E-3</v>
      </c>
    </row>
    <row r="23" spans="1:40" x14ac:dyDescent="0.25">
      <c r="B23" s="192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0">
        <f t="shared" si="4"/>
        <v>1.9031141868512218E-2</v>
      </c>
      <c r="I23" s="40"/>
      <c r="W23" s="93">
        <v>42767</v>
      </c>
      <c r="X23" s="362">
        <v>47.3</v>
      </c>
      <c r="Y23" s="40">
        <v>48.45</v>
      </c>
      <c r="Z23" s="40">
        <v>46.83</v>
      </c>
      <c r="AA23" s="362">
        <v>48.08</v>
      </c>
      <c r="AB23" s="94">
        <v>1288500</v>
      </c>
      <c r="AC23" s="242">
        <v>48.08</v>
      </c>
      <c r="AD23" s="2">
        <f t="shared" si="0"/>
        <v>1.6200000000000045</v>
      </c>
      <c r="AE23" s="137">
        <f t="shared" si="1"/>
        <v>2.297872340425533E-2</v>
      </c>
      <c r="AK23" s="233"/>
    </row>
    <row r="24" spans="1:40" x14ac:dyDescent="0.25">
      <c r="B24" s="192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0">
        <f t="shared" si="4"/>
        <v>4.7001153402537563E-2</v>
      </c>
      <c r="I24" s="40"/>
      <c r="W24" s="93">
        <v>42766</v>
      </c>
      <c r="X24" s="362">
        <v>47.88</v>
      </c>
      <c r="Y24" s="40">
        <v>48.11</v>
      </c>
      <c r="Z24" s="40">
        <v>46.83</v>
      </c>
      <c r="AA24" s="362">
        <v>47</v>
      </c>
      <c r="AB24" s="94">
        <v>1625200</v>
      </c>
      <c r="AC24" s="242">
        <v>47</v>
      </c>
      <c r="AD24" s="2">
        <f t="shared" si="0"/>
        <v>1.2800000000000011</v>
      </c>
      <c r="AE24" s="137">
        <f t="shared" si="1"/>
        <v>-2.1444930251925953E-2</v>
      </c>
    </row>
    <row r="25" spans="1:40" x14ac:dyDescent="0.25">
      <c r="B25" s="192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0">
        <f t="shared" si="4"/>
        <v>7.1799307958477568E-2</v>
      </c>
      <c r="I25" s="40"/>
      <c r="W25" s="93">
        <v>42765</v>
      </c>
      <c r="X25" s="362">
        <v>48.8</v>
      </c>
      <c r="Y25" s="40">
        <v>48.88</v>
      </c>
      <c r="Z25" s="40">
        <v>47.94</v>
      </c>
      <c r="AA25" s="362">
        <v>48.03</v>
      </c>
      <c r="AB25" s="94">
        <v>1323500</v>
      </c>
      <c r="AC25" s="242">
        <v>48.03</v>
      </c>
      <c r="AD25" s="2">
        <f t="shared" si="0"/>
        <v>0.94000000000000483</v>
      </c>
      <c r="AE25" s="137">
        <f t="shared" si="1"/>
        <v>-2.0195838433292534E-2</v>
      </c>
    </row>
    <row r="26" spans="1:40" x14ac:dyDescent="0.25">
      <c r="B26" s="192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0">
        <f t="shared" si="4"/>
        <v>8.7081891580161566E-2</v>
      </c>
      <c r="I26" s="40"/>
      <c r="W26" s="93">
        <v>42762</v>
      </c>
      <c r="X26" s="362">
        <v>49.35</v>
      </c>
      <c r="Y26" s="40">
        <v>49.56</v>
      </c>
      <c r="Z26" s="40">
        <v>48.61</v>
      </c>
      <c r="AA26" s="362">
        <v>49.02</v>
      </c>
      <c r="AB26" s="94">
        <v>945300</v>
      </c>
      <c r="AC26" s="242">
        <v>49.02</v>
      </c>
      <c r="AD26" s="2">
        <f t="shared" si="0"/>
        <v>0.95000000000000284</v>
      </c>
      <c r="AE26" s="137">
        <f t="shared" si="1"/>
        <v>-6.284208392458801E-3</v>
      </c>
    </row>
    <row r="27" spans="1:40" x14ac:dyDescent="0.25">
      <c r="B27" s="192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30">
        <f>(E27-D27)/D27</f>
        <v>0.11418685121107269</v>
      </c>
      <c r="I27" s="40"/>
      <c r="W27" s="93">
        <v>42761</v>
      </c>
      <c r="X27" s="362">
        <v>49.22</v>
      </c>
      <c r="Y27" s="40">
        <v>50.05</v>
      </c>
      <c r="Z27" s="40">
        <v>48.77</v>
      </c>
      <c r="AA27" s="362">
        <v>49.33</v>
      </c>
      <c r="AB27" s="94">
        <v>2613500</v>
      </c>
      <c r="AC27" s="242">
        <v>49.33</v>
      </c>
      <c r="AD27" s="2">
        <f t="shared" si="0"/>
        <v>1.279999999999994</v>
      </c>
      <c r="AE27" s="137">
        <f t="shared" si="1"/>
        <v>2.5784986483676331E-2</v>
      </c>
    </row>
    <row r="28" spans="1:40" x14ac:dyDescent="0.25">
      <c r="B28" s="192">
        <v>42663</v>
      </c>
      <c r="C28" s="10">
        <v>0</v>
      </c>
      <c r="D28" s="40"/>
      <c r="E28" s="40"/>
      <c r="F28" s="40">
        <v>192.96</v>
      </c>
      <c r="G28" s="40"/>
      <c r="H28" s="230"/>
      <c r="I28" s="40"/>
      <c r="W28" s="93">
        <v>42760</v>
      </c>
      <c r="X28" s="362">
        <v>47.22</v>
      </c>
      <c r="Y28" s="40">
        <v>48.24</v>
      </c>
      <c r="Z28" s="40">
        <v>46.96</v>
      </c>
      <c r="AA28" s="362">
        <v>48.09</v>
      </c>
      <c r="AB28" s="94">
        <v>1275800</v>
      </c>
      <c r="AC28" s="242">
        <v>48.09</v>
      </c>
      <c r="AD28" s="2">
        <f t="shared" si="0"/>
        <v>1.2800000000000011</v>
      </c>
      <c r="AE28" s="137">
        <f t="shared" si="1"/>
        <v>2.6686592655849717E-2</v>
      </c>
    </row>
    <row r="29" spans="1:40" x14ac:dyDescent="0.25">
      <c r="B29" s="192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30">
        <f>(E29-D29)/D29</f>
        <v>-2.3783488244942523E-2</v>
      </c>
      <c r="I29" s="40"/>
      <c r="W29" s="93">
        <v>42759</v>
      </c>
      <c r="X29" s="362">
        <v>45.92</v>
      </c>
      <c r="Y29" s="40">
        <v>46.95</v>
      </c>
      <c r="Z29" s="40">
        <v>45.83</v>
      </c>
      <c r="AA29" s="362">
        <v>46.84</v>
      </c>
      <c r="AB29" s="94">
        <v>1239400</v>
      </c>
      <c r="AC29" s="242">
        <v>46.84</v>
      </c>
      <c r="AD29" s="2">
        <f t="shared" si="0"/>
        <v>1.1200000000000045</v>
      </c>
      <c r="AE29" s="137">
        <f t="shared" si="1"/>
        <v>1.8260869565217552E-2</v>
      </c>
    </row>
    <row r="30" spans="1:40" x14ac:dyDescent="0.25">
      <c r="B30" s="192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30">
        <f>(E30-D30)/D30</f>
        <v>6.2602515035538528E-2</v>
      </c>
      <c r="I30" s="40"/>
      <c r="W30" s="93">
        <v>42758</v>
      </c>
      <c r="X30" s="362">
        <v>45.47</v>
      </c>
      <c r="Y30" s="40">
        <v>46.15</v>
      </c>
      <c r="Z30" s="40">
        <v>45.15</v>
      </c>
      <c r="AA30" s="362">
        <v>46</v>
      </c>
      <c r="AB30" s="94">
        <v>826800</v>
      </c>
      <c r="AC30" s="242">
        <v>46</v>
      </c>
      <c r="AD30" s="2">
        <f t="shared" si="0"/>
        <v>1</v>
      </c>
      <c r="AE30" s="137">
        <f t="shared" si="1"/>
        <v>8.1087004163926668E-3</v>
      </c>
    </row>
    <row r="31" spans="1:40" x14ac:dyDescent="0.25">
      <c r="B31" s="192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30">
        <f>(E31-D31)/D31</f>
        <v>0.10934937124111536</v>
      </c>
      <c r="I31" s="40"/>
      <c r="W31" s="93">
        <v>42755</v>
      </c>
      <c r="X31" s="362">
        <v>45.93</v>
      </c>
      <c r="Y31" s="40">
        <v>46.41</v>
      </c>
      <c r="Z31" s="40">
        <v>45.41</v>
      </c>
      <c r="AA31" s="362">
        <v>45.63</v>
      </c>
      <c r="AB31" s="94">
        <v>736000</v>
      </c>
      <c r="AC31" s="242">
        <v>45.63</v>
      </c>
      <c r="AD31" s="2">
        <f t="shared" si="0"/>
        <v>1</v>
      </c>
      <c r="AE31" s="137">
        <f t="shared" si="1"/>
        <v>2.192021043403436E-4</v>
      </c>
    </row>
    <row r="32" spans="1:40" x14ac:dyDescent="0.25">
      <c r="B32" s="192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30">
        <f>(E32-D32)/D32</f>
        <v>6.205576817933306E-2</v>
      </c>
      <c r="I32" s="40"/>
      <c r="W32" s="93">
        <v>42754</v>
      </c>
      <c r="X32" s="362">
        <v>45.76</v>
      </c>
      <c r="Y32" s="40">
        <v>46.36</v>
      </c>
      <c r="Z32" s="40">
        <v>45.39</v>
      </c>
      <c r="AA32" s="362">
        <v>45.62</v>
      </c>
      <c r="AB32" s="94">
        <v>1031300</v>
      </c>
      <c r="AC32" s="242">
        <v>45.62</v>
      </c>
      <c r="AD32" s="2">
        <f t="shared" si="0"/>
        <v>0.96999999999999886</v>
      </c>
      <c r="AE32" s="137">
        <f t="shared" si="1"/>
        <v>-1.0948105977667266E-3</v>
      </c>
    </row>
    <row r="33" spans="1:31" x14ac:dyDescent="0.25">
      <c r="B33" s="192">
        <v>42710</v>
      </c>
      <c r="C33" s="10">
        <v>0</v>
      </c>
      <c r="D33" s="40"/>
      <c r="E33" s="40"/>
      <c r="F33" s="40">
        <v>234.96</v>
      </c>
      <c r="G33" s="40"/>
      <c r="H33" s="230"/>
      <c r="I33" s="40"/>
      <c r="W33" s="93">
        <v>42753</v>
      </c>
      <c r="X33" s="362">
        <v>44.97</v>
      </c>
      <c r="Y33" s="40">
        <v>45.77</v>
      </c>
      <c r="Z33" s="40">
        <v>44.56</v>
      </c>
      <c r="AA33" s="362">
        <v>45.67</v>
      </c>
      <c r="AB33" s="94">
        <v>943000</v>
      </c>
      <c r="AC33" s="242">
        <v>45.67</v>
      </c>
      <c r="AD33" s="2">
        <f t="shared" si="0"/>
        <v>1.2100000000000009</v>
      </c>
      <c r="AE33" s="137">
        <f t="shared" si="1"/>
        <v>2.078676799284751E-2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42752</v>
      </c>
      <c r="X34" s="362">
        <v>45.08</v>
      </c>
      <c r="Y34" s="40">
        <v>45.22</v>
      </c>
      <c r="Z34" s="40">
        <v>44.2</v>
      </c>
      <c r="AA34" s="362">
        <v>44.74</v>
      </c>
      <c r="AB34" s="94">
        <v>905400</v>
      </c>
      <c r="AC34" s="242">
        <v>44.74</v>
      </c>
      <c r="AD34" s="2">
        <f t="shared" si="0"/>
        <v>1.019999999999996</v>
      </c>
      <c r="AE34" s="137">
        <f t="shared" si="1"/>
        <v>-4.6718576195773354E-3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42748</v>
      </c>
      <c r="X35" s="362">
        <v>45.49</v>
      </c>
      <c r="Y35" s="40">
        <v>45.49</v>
      </c>
      <c r="Z35" s="40">
        <v>44.84</v>
      </c>
      <c r="AA35" s="362">
        <v>44.95</v>
      </c>
      <c r="AB35" s="94">
        <v>547700</v>
      </c>
      <c r="AC35" s="242">
        <v>44.95</v>
      </c>
      <c r="AD35" s="2">
        <f t="shared" si="0"/>
        <v>0.64999999999999858</v>
      </c>
      <c r="AE35" s="137">
        <f t="shared" si="1"/>
        <v>-8.8202866593164453E-3</v>
      </c>
    </row>
    <row r="36" spans="1:31" x14ac:dyDescent="0.25">
      <c r="W36" s="93">
        <v>42747</v>
      </c>
      <c r="X36" s="362">
        <v>45.47</v>
      </c>
      <c r="Y36" s="40">
        <v>45.83</v>
      </c>
      <c r="Z36" s="40">
        <v>44.67</v>
      </c>
      <c r="AA36" s="362">
        <v>45.35</v>
      </c>
      <c r="AB36" s="94">
        <v>731500</v>
      </c>
      <c r="AC36" s="242">
        <v>45.35</v>
      </c>
      <c r="AD36" s="2">
        <f t="shared" si="0"/>
        <v>1.1599999999999966</v>
      </c>
      <c r="AE36" s="137">
        <f t="shared" si="1"/>
        <v>-8.7431693989070691E-3</v>
      </c>
    </row>
    <row r="37" spans="1:31" x14ac:dyDescent="0.25">
      <c r="L37" t="s">
        <v>212</v>
      </c>
      <c r="M37" s="2">
        <f>M55+K55-F55</f>
        <v>427.92000000000007</v>
      </c>
      <c r="W37" s="93">
        <v>42746</v>
      </c>
      <c r="X37" s="362">
        <v>45.01</v>
      </c>
      <c r="Y37" s="40">
        <v>45.82</v>
      </c>
      <c r="Z37" s="40">
        <v>44.72</v>
      </c>
      <c r="AA37" s="362">
        <v>45.75</v>
      </c>
      <c r="AB37" s="94">
        <v>870500</v>
      </c>
      <c r="AC37" s="242">
        <v>45.75</v>
      </c>
      <c r="AD37" s="2">
        <f t="shared" si="0"/>
        <v>1.1000000000000014</v>
      </c>
      <c r="AE37" s="137">
        <f t="shared" si="1"/>
        <v>1.1720477664750151E-2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42745</v>
      </c>
      <c r="X38" s="362">
        <v>44.33</v>
      </c>
      <c r="Y38" s="40">
        <v>45.36</v>
      </c>
      <c r="Z38" s="40">
        <v>44.33</v>
      </c>
      <c r="AA38" s="362">
        <v>45.22</v>
      </c>
      <c r="AB38" s="94">
        <v>1065500</v>
      </c>
      <c r="AC38" s="242">
        <v>45.22</v>
      </c>
      <c r="AD38" s="2">
        <f t="shared" si="0"/>
        <v>1.0300000000000011</v>
      </c>
      <c r="AE38" s="137">
        <f t="shared" si="1"/>
        <v>1.8697904933543619E-2</v>
      </c>
    </row>
    <row r="39" spans="1:31" ht="20.25" thickBot="1" x14ac:dyDescent="0.35">
      <c r="A39" s="264" t="s">
        <v>279</v>
      </c>
      <c r="B39" s="265">
        <v>42621</v>
      </c>
      <c r="C39" s="260">
        <v>50</v>
      </c>
      <c r="D39" s="261">
        <v>34.68</v>
      </c>
      <c r="E39" s="261">
        <v>0</v>
      </c>
      <c r="F39" s="261">
        <f>D39*C39+E39</f>
        <v>1734</v>
      </c>
      <c r="G39" s="265">
        <v>42663</v>
      </c>
      <c r="H39" s="266">
        <v>50</v>
      </c>
      <c r="I39" s="261">
        <v>38.54</v>
      </c>
      <c r="J39" s="261">
        <v>0.04</v>
      </c>
      <c r="K39" s="261">
        <f>H39*I39-J39</f>
        <v>1926.96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42744</v>
      </c>
      <c r="X39" s="362">
        <v>44.14</v>
      </c>
      <c r="Y39" s="40">
        <v>44.7</v>
      </c>
      <c r="Z39" s="40">
        <v>43.9</v>
      </c>
      <c r="AA39" s="362">
        <v>44.39</v>
      </c>
      <c r="AB39" s="94">
        <v>855800</v>
      </c>
      <c r="AC39" s="242">
        <v>44.39</v>
      </c>
      <c r="AD39" s="2">
        <f t="shared" si="0"/>
        <v>0.80000000000000426</v>
      </c>
      <c r="AE39" s="137">
        <f t="shared" si="1"/>
        <v>3.1638418079096287E-3</v>
      </c>
    </row>
    <row r="40" spans="1:31" ht="15.75" thickTop="1" x14ac:dyDescent="0.25">
      <c r="A40" s="267" t="s">
        <v>71</v>
      </c>
      <c r="B40" s="265">
        <v>42670</v>
      </c>
      <c r="C40" s="260">
        <v>50</v>
      </c>
      <c r="D40" s="261">
        <v>36.58</v>
      </c>
      <c r="E40" s="261">
        <v>0</v>
      </c>
      <c r="F40" s="261">
        <f>C40*D40+E40</f>
        <v>1829</v>
      </c>
      <c r="G40" s="265">
        <v>42710</v>
      </c>
      <c r="H40" s="266">
        <v>50</v>
      </c>
      <c r="I40" s="261">
        <v>41.28</v>
      </c>
      <c r="J40" s="261">
        <v>0.04</v>
      </c>
      <c r="K40" s="261">
        <f>H40*I40-J40</f>
        <v>2063.96</v>
      </c>
      <c r="L40" s="260"/>
      <c r="M40" s="260"/>
      <c r="O40" s="2"/>
      <c r="P40" s="82">
        <v>1.1000000000000001</v>
      </c>
      <c r="Q40" s="82">
        <f>P40*$Q$4</f>
        <v>56.210000000000008</v>
      </c>
      <c r="R40" s="34"/>
      <c r="T40" s="96" t="s">
        <v>98</v>
      </c>
      <c r="U40" s="128">
        <v>50.98</v>
      </c>
      <c r="W40" s="93">
        <v>42741</v>
      </c>
      <c r="X40" s="362">
        <v>44.75</v>
      </c>
      <c r="Y40" s="40">
        <v>44.92</v>
      </c>
      <c r="Z40" s="40">
        <v>44.06</v>
      </c>
      <c r="AA40" s="362">
        <v>44.25</v>
      </c>
      <c r="AB40" s="94">
        <v>932900</v>
      </c>
      <c r="AC40" s="242">
        <v>44.25</v>
      </c>
      <c r="AD40" s="2">
        <f t="shared" si="0"/>
        <v>0.85999999999999943</v>
      </c>
      <c r="AE40" s="137">
        <f t="shared" si="1"/>
        <v>-6.7340067340067034E-3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55.699000000000005</v>
      </c>
      <c r="R41" s="34"/>
      <c r="T41" s="86" t="s">
        <v>99</v>
      </c>
      <c r="U41" s="129">
        <v>51</v>
      </c>
      <c r="W41" s="93">
        <v>42740</v>
      </c>
      <c r="X41" s="362">
        <v>44.51</v>
      </c>
      <c r="Y41" s="40">
        <v>44.79</v>
      </c>
      <c r="Z41" s="40">
        <v>44.02</v>
      </c>
      <c r="AA41" s="362">
        <v>44.55</v>
      </c>
      <c r="AB41" s="94">
        <v>933700</v>
      </c>
      <c r="AC41" s="242">
        <v>44.55</v>
      </c>
      <c r="AD41" s="2">
        <f t="shared" si="0"/>
        <v>0.76999999999999602</v>
      </c>
      <c r="AE41" s="137">
        <f t="shared" si="1"/>
        <v>-4.9140049140050657E-3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55.188000000000002</v>
      </c>
      <c r="R42" s="34"/>
      <c r="T42" s="86" t="s">
        <v>100</v>
      </c>
      <c r="U42" s="129" t="s">
        <v>564</v>
      </c>
      <c r="W42" s="93">
        <v>42739</v>
      </c>
      <c r="X42" s="362">
        <v>43.1</v>
      </c>
      <c r="Y42" s="40">
        <v>44.89</v>
      </c>
      <c r="Z42" s="40">
        <v>42.78</v>
      </c>
      <c r="AA42" s="362">
        <v>44.77</v>
      </c>
      <c r="AB42" s="94">
        <v>1852500</v>
      </c>
      <c r="AC42" s="242">
        <v>44.77</v>
      </c>
      <c r="AD42" s="2">
        <f t="shared" si="0"/>
        <v>2.1099999999999994</v>
      </c>
      <c r="AE42" s="137">
        <f t="shared" si="1"/>
        <v>4.6272493573264795E-2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54.677000000000007</v>
      </c>
      <c r="R43" s="82"/>
      <c r="T43" s="86" t="s">
        <v>101</v>
      </c>
      <c r="U43" s="129" t="s">
        <v>521</v>
      </c>
      <c r="W43" s="93">
        <v>42738</v>
      </c>
      <c r="X43" s="362">
        <v>43.13</v>
      </c>
      <c r="Y43" s="40">
        <v>43.87</v>
      </c>
      <c r="Z43" s="40">
        <v>42.64</v>
      </c>
      <c r="AA43" s="362">
        <v>42.79</v>
      </c>
      <c r="AB43" s="94">
        <v>1618500</v>
      </c>
      <c r="AC43" s="242">
        <v>42.79</v>
      </c>
      <c r="AD43" s="2">
        <f t="shared" si="0"/>
        <v>1.2299999999999969</v>
      </c>
      <c r="AE43" s="137">
        <f t="shared" si="1"/>
        <v>6.1133317658124131E-3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54.166000000000004</v>
      </c>
      <c r="R44" s="82"/>
      <c r="T44" s="86" t="s">
        <v>102</v>
      </c>
      <c r="U44" s="129">
        <v>54</v>
      </c>
      <c r="W44" s="93">
        <v>42734</v>
      </c>
      <c r="X44" s="362">
        <v>42.62</v>
      </c>
      <c r="Y44" s="40">
        <v>42.97</v>
      </c>
      <c r="Z44" s="40">
        <v>42.1</v>
      </c>
      <c r="AA44" s="362">
        <v>42.53</v>
      </c>
      <c r="AB44" s="94">
        <v>856900</v>
      </c>
      <c r="AC44" s="242">
        <v>42.53</v>
      </c>
      <c r="AD44" s="2">
        <f t="shared" si="0"/>
        <v>0.86999999999999744</v>
      </c>
      <c r="AE44" s="137">
        <f t="shared" si="1"/>
        <v>-3.0473511486168725E-3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53.655000000000001</v>
      </c>
      <c r="R45" s="82"/>
      <c r="T45" s="86" t="s">
        <v>103</v>
      </c>
      <c r="U45" s="129">
        <v>1.5678700000000001</v>
      </c>
      <c r="W45" s="93">
        <v>42733</v>
      </c>
      <c r="X45" s="362">
        <v>42.93</v>
      </c>
      <c r="Y45" s="40">
        <v>43.45</v>
      </c>
      <c r="Z45" s="40">
        <v>42.04</v>
      </c>
      <c r="AA45" s="362">
        <v>42.66</v>
      </c>
      <c r="AB45" s="94">
        <v>2178400</v>
      </c>
      <c r="AC45" s="242">
        <v>42.66</v>
      </c>
      <c r="AD45" s="2">
        <f t="shared" si="0"/>
        <v>1.4100000000000037</v>
      </c>
      <c r="AE45" s="137">
        <f t="shared" si="1"/>
        <v>-6.2893081761007386E-3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53.144000000000005</v>
      </c>
      <c r="R46" s="82"/>
      <c r="T46" s="86" t="s">
        <v>122</v>
      </c>
      <c r="U46" s="231" t="s">
        <v>478</v>
      </c>
      <c r="W46" s="93">
        <v>42732</v>
      </c>
      <c r="X46" s="362">
        <v>43.68</v>
      </c>
      <c r="Y46" s="40">
        <v>43.68</v>
      </c>
      <c r="Z46" s="40">
        <v>42.89</v>
      </c>
      <c r="AA46" s="362">
        <v>42.93</v>
      </c>
      <c r="AB46" s="94">
        <v>718800</v>
      </c>
      <c r="AC46" s="242">
        <v>42.93</v>
      </c>
      <c r="AD46" s="2">
        <f t="shared" si="0"/>
        <v>0.78999999999999915</v>
      </c>
      <c r="AE46" s="137">
        <f t="shared" si="1"/>
        <v>-1.7395284962233859E-2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52.633000000000003</v>
      </c>
      <c r="R47" s="82"/>
      <c r="T47" s="86"/>
      <c r="U47" s="129"/>
      <c r="W47" s="93">
        <v>42731</v>
      </c>
      <c r="X47" s="362">
        <v>43.62</v>
      </c>
      <c r="Y47" s="40">
        <v>44.53</v>
      </c>
      <c r="Z47" s="40">
        <v>43.53</v>
      </c>
      <c r="AA47" s="362">
        <v>43.69</v>
      </c>
      <c r="AB47" s="94">
        <v>442700</v>
      </c>
      <c r="AC47" s="242">
        <v>43.69</v>
      </c>
      <c r="AD47" s="2">
        <f t="shared" si="0"/>
        <v>1</v>
      </c>
      <c r="AE47" s="137">
        <f t="shared" si="1"/>
        <v>4.1369800045967242E-3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52.122</v>
      </c>
      <c r="R48" s="82"/>
      <c r="T48" s="86" t="s">
        <v>105</v>
      </c>
      <c r="U48" s="129" t="s">
        <v>668</v>
      </c>
      <c r="W48" s="93">
        <v>42727</v>
      </c>
      <c r="X48" s="362">
        <v>43.51</v>
      </c>
      <c r="Y48" s="40">
        <v>43.7</v>
      </c>
      <c r="Z48" s="40">
        <v>43.16</v>
      </c>
      <c r="AA48" s="362">
        <v>43.51</v>
      </c>
      <c r="AB48" s="94">
        <v>1474300</v>
      </c>
      <c r="AC48" s="242">
        <v>43.51</v>
      </c>
      <c r="AD48" s="2">
        <f t="shared" si="0"/>
        <v>0.54000000000000625</v>
      </c>
      <c r="AE48" s="137">
        <f t="shared" si="1"/>
        <v>2.9967727063162641E-3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51.611000000000004</v>
      </c>
      <c r="R49" s="82"/>
      <c r="T49" s="86" t="s">
        <v>106</v>
      </c>
      <c r="U49" s="129" t="s">
        <v>366</v>
      </c>
      <c r="W49" s="93">
        <v>42726</v>
      </c>
      <c r="X49" s="362">
        <v>44.83</v>
      </c>
      <c r="Y49" s="40">
        <v>44.87</v>
      </c>
      <c r="Z49" s="40">
        <v>43.33</v>
      </c>
      <c r="AA49" s="362">
        <v>43.38</v>
      </c>
      <c r="AB49" s="94">
        <v>1050700</v>
      </c>
      <c r="AC49" s="242">
        <v>43.38</v>
      </c>
      <c r="AD49" s="2">
        <f t="shared" si="0"/>
        <v>1.5399999999999991</v>
      </c>
      <c r="AE49" s="137">
        <f t="shared" si="1"/>
        <v>-3.449810816826171E-2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51.1</v>
      </c>
      <c r="R50" s="82"/>
      <c r="T50" s="86" t="s">
        <v>107</v>
      </c>
      <c r="U50" s="130">
        <v>849170</v>
      </c>
      <c r="W50" s="93">
        <v>42725</v>
      </c>
      <c r="X50" s="362">
        <v>45.02</v>
      </c>
      <c r="Y50" s="40">
        <v>45.16</v>
      </c>
      <c r="Z50" s="40">
        <v>44.63</v>
      </c>
      <c r="AA50" s="362">
        <v>44.93</v>
      </c>
      <c r="AB50" s="94">
        <v>658600</v>
      </c>
      <c r="AC50" s="242">
        <v>44.93</v>
      </c>
      <c r="AD50" s="2">
        <f t="shared" si="0"/>
        <v>0.52999999999999403</v>
      </c>
      <c r="AE50" s="137">
        <f t="shared" si="1"/>
        <v>2.2261798753331341E-4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50.588999999999999</v>
      </c>
      <c r="R51" s="82"/>
      <c r="T51" s="86" t="s">
        <v>110</v>
      </c>
      <c r="U51" s="130">
        <v>1312700</v>
      </c>
      <c r="W51" s="93">
        <v>42724</v>
      </c>
      <c r="X51" s="362">
        <v>43.52</v>
      </c>
      <c r="Y51" s="40">
        <v>45.5</v>
      </c>
      <c r="Z51" s="40">
        <v>43.26</v>
      </c>
      <c r="AA51" s="362">
        <v>44.92</v>
      </c>
      <c r="AB51" s="94">
        <v>1891900</v>
      </c>
      <c r="AC51" s="242">
        <v>44.92</v>
      </c>
      <c r="AD51" s="2">
        <f t="shared" si="0"/>
        <v>2.240000000000002</v>
      </c>
      <c r="AE51" s="137">
        <f t="shared" si="1"/>
        <v>4.3195541105434332E-2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50.078000000000003</v>
      </c>
      <c r="R52" s="82"/>
      <c r="T52" s="86" t="s">
        <v>108</v>
      </c>
      <c r="U52" s="129" t="s">
        <v>669</v>
      </c>
      <c r="W52" s="93">
        <v>42723</v>
      </c>
      <c r="X52" s="362">
        <v>43.97</v>
      </c>
      <c r="Y52" s="40">
        <v>43.97</v>
      </c>
      <c r="Z52" s="40">
        <v>42.9</v>
      </c>
      <c r="AA52" s="362">
        <v>43.06</v>
      </c>
      <c r="AB52" s="94">
        <v>1362900</v>
      </c>
      <c r="AC52" s="242">
        <v>43.06</v>
      </c>
      <c r="AD52" s="2">
        <f t="shared" si="0"/>
        <v>1.0700000000000003</v>
      </c>
      <c r="AE52" s="137">
        <f t="shared" si="1"/>
        <v>-2.4246544300929096E-2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49.567</v>
      </c>
      <c r="R53" s="82"/>
      <c r="T53" s="86" t="s">
        <v>111</v>
      </c>
      <c r="U53" s="129">
        <v>18.03</v>
      </c>
      <c r="W53" s="93">
        <v>42720</v>
      </c>
      <c r="X53" s="362">
        <v>45.2</v>
      </c>
      <c r="Y53" s="40">
        <v>45.2</v>
      </c>
      <c r="Z53" s="40">
        <v>43.81</v>
      </c>
      <c r="AA53" s="362">
        <v>44.13</v>
      </c>
      <c r="AB53" s="94">
        <v>1968000</v>
      </c>
      <c r="AC53" s="242">
        <v>44.13</v>
      </c>
      <c r="AD53" s="2">
        <f t="shared" si="0"/>
        <v>1.3900000000000006</v>
      </c>
      <c r="AE53" s="137">
        <f t="shared" si="1"/>
        <v>-2.2374833850243636E-2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49.055999999999997</v>
      </c>
      <c r="R54" s="82"/>
      <c r="T54" s="86" t="s">
        <v>112</v>
      </c>
      <c r="U54" s="129">
        <v>2.78</v>
      </c>
      <c r="W54" s="93">
        <v>42719</v>
      </c>
      <c r="X54" s="362">
        <v>44.17</v>
      </c>
      <c r="Y54" s="40">
        <v>45.37</v>
      </c>
      <c r="Z54" s="40">
        <v>43.52</v>
      </c>
      <c r="AA54" s="362">
        <v>45.14</v>
      </c>
      <c r="AB54" s="94">
        <v>2064000</v>
      </c>
      <c r="AC54" s="242">
        <v>45.14</v>
      </c>
      <c r="AD54" s="2">
        <f t="shared" si="0"/>
        <v>1.8499999999999943</v>
      </c>
      <c r="AE54" s="137">
        <f t="shared" si="1"/>
        <v>2.5210084033613356E-2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48.545000000000002</v>
      </c>
      <c r="R55" s="82"/>
      <c r="T55" s="86" t="s">
        <v>109</v>
      </c>
      <c r="U55" s="129" t="s">
        <v>123</v>
      </c>
      <c r="W55" s="93">
        <v>42718</v>
      </c>
      <c r="X55" s="362">
        <v>43.92</v>
      </c>
      <c r="Y55" s="40">
        <v>44.91</v>
      </c>
      <c r="Z55" s="40">
        <v>43.65</v>
      </c>
      <c r="AA55" s="362">
        <v>44.03</v>
      </c>
      <c r="AB55" s="94">
        <v>1342800</v>
      </c>
      <c r="AC55" s="242">
        <v>44.03</v>
      </c>
      <c r="AD55" s="2">
        <f t="shared" si="0"/>
        <v>1.259999999999998</v>
      </c>
      <c r="AE55" s="137">
        <f t="shared" si="1"/>
        <v>2.9612756264236761E-3</v>
      </c>
    </row>
    <row r="56" spans="1:31" x14ac:dyDescent="0.25">
      <c r="O56" s="2"/>
      <c r="P56" s="82">
        <v>0.94</v>
      </c>
      <c r="Q56" s="82">
        <f t="shared" si="5"/>
        <v>48.033999999999999</v>
      </c>
      <c r="R56" s="82"/>
      <c r="W56" s="93">
        <v>42717</v>
      </c>
      <c r="X56" s="362">
        <v>44.04</v>
      </c>
      <c r="Y56" s="40">
        <v>44.16</v>
      </c>
      <c r="Z56" s="40">
        <v>43.58</v>
      </c>
      <c r="AA56" s="362">
        <v>43.9</v>
      </c>
      <c r="AB56" s="94">
        <v>1274800</v>
      </c>
      <c r="AC56" s="242">
        <v>43.9</v>
      </c>
      <c r="AD56" s="2">
        <f t="shared" si="0"/>
        <v>0.57999999999999829</v>
      </c>
      <c r="AE56" s="137">
        <f t="shared" si="1"/>
        <v>-2.0459195271653741E-3</v>
      </c>
    </row>
    <row r="57" spans="1:31" x14ac:dyDescent="0.25">
      <c r="O57" s="2"/>
      <c r="P57" s="82">
        <v>0.93</v>
      </c>
      <c r="Q57" s="82">
        <f t="shared" si="5"/>
        <v>47.523000000000003</v>
      </c>
      <c r="R57" s="82"/>
      <c r="W57" s="93">
        <v>42716</v>
      </c>
      <c r="X57" s="362">
        <v>44.21</v>
      </c>
      <c r="Y57" s="40">
        <v>44.38</v>
      </c>
      <c r="Z57" s="40">
        <v>43.32</v>
      </c>
      <c r="AA57" s="362">
        <v>43.99</v>
      </c>
      <c r="AB57" s="94">
        <v>1906800</v>
      </c>
      <c r="AC57" s="242">
        <v>43.99</v>
      </c>
      <c r="AD57" s="2">
        <f t="shared" si="0"/>
        <v>1.0600000000000023</v>
      </c>
      <c r="AE57" s="137">
        <f t="shared" si="1"/>
        <v>-1.1460674157303341E-2</v>
      </c>
    </row>
    <row r="58" spans="1:31" x14ac:dyDescent="0.25">
      <c r="O58" s="2"/>
      <c r="P58" s="82">
        <v>0.92</v>
      </c>
      <c r="Q58" s="82">
        <f t="shared" si="5"/>
        <v>47.012</v>
      </c>
      <c r="R58" s="82"/>
      <c r="W58" s="93">
        <v>42713</v>
      </c>
      <c r="X58" s="362">
        <v>44.19</v>
      </c>
      <c r="Y58" s="40">
        <v>44.7</v>
      </c>
      <c r="Z58" s="40">
        <v>43.76</v>
      </c>
      <c r="AA58" s="362">
        <v>44.5</v>
      </c>
      <c r="AB58" s="94">
        <v>1182900</v>
      </c>
      <c r="AC58" s="242">
        <v>44.5</v>
      </c>
      <c r="AD58" s="2">
        <f t="shared" si="0"/>
        <v>0.94000000000000483</v>
      </c>
      <c r="AE58" s="137">
        <f t="shared" si="1"/>
        <v>1.0904134484325256E-2</v>
      </c>
    </row>
    <row r="59" spans="1:31" x14ac:dyDescent="0.25">
      <c r="O59" s="2"/>
      <c r="P59" s="82">
        <v>0.91</v>
      </c>
      <c r="Q59" s="82">
        <f t="shared" si="5"/>
        <v>46.501000000000005</v>
      </c>
      <c r="R59" s="82"/>
      <c r="W59" s="93">
        <v>42712</v>
      </c>
      <c r="X59" s="362">
        <v>42.77</v>
      </c>
      <c r="Y59" s="40">
        <v>44.17</v>
      </c>
      <c r="Z59" s="40">
        <v>42.38</v>
      </c>
      <c r="AA59" s="362">
        <v>44.02</v>
      </c>
      <c r="AB59" s="94">
        <v>2234100</v>
      </c>
      <c r="AC59" s="242">
        <v>44.02</v>
      </c>
      <c r="AD59" s="2">
        <f t="shared" si="0"/>
        <v>1.7899999999999991</v>
      </c>
      <c r="AE59" s="137">
        <f t="shared" si="1"/>
        <v>3.1879981247070033E-2</v>
      </c>
    </row>
    <row r="60" spans="1:31" x14ac:dyDescent="0.25">
      <c r="O60" s="2"/>
      <c r="P60" s="82">
        <v>0.9</v>
      </c>
      <c r="Q60" s="82">
        <f t="shared" si="5"/>
        <v>45.99</v>
      </c>
      <c r="R60" s="82"/>
      <c r="W60" s="93">
        <v>42711</v>
      </c>
      <c r="X60" s="362">
        <v>41.27</v>
      </c>
      <c r="Y60" s="40">
        <v>42.86</v>
      </c>
      <c r="Z60" s="40">
        <v>41.08</v>
      </c>
      <c r="AA60" s="362">
        <v>42.66</v>
      </c>
      <c r="AB60" s="94">
        <v>1446100</v>
      </c>
      <c r="AC60" s="242">
        <v>42.66</v>
      </c>
      <c r="AD60" s="2">
        <f t="shared" si="0"/>
        <v>1.7800000000000011</v>
      </c>
      <c r="AE60" s="137">
        <f t="shared" si="1"/>
        <v>3.4181818181818091E-2</v>
      </c>
    </row>
    <row r="61" spans="1:31" x14ac:dyDescent="0.25">
      <c r="W61" s="93">
        <v>42710</v>
      </c>
      <c r="X61" s="362">
        <v>40.880000000000003</v>
      </c>
      <c r="Y61" s="40">
        <v>41.41</v>
      </c>
      <c r="Z61" s="40">
        <v>40.47</v>
      </c>
      <c r="AA61" s="362">
        <v>41.25</v>
      </c>
      <c r="AB61" s="94">
        <v>1151400</v>
      </c>
      <c r="AC61" s="242">
        <v>41.25</v>
      </c>
      <c r="AD61" s="2">
        <f t="shared" si="0"/>
        <v>0.93999999999999773</v>
      </c>
      <c r="AE61" s="137">
        <f t="shared" si="1"/>
        <v>1.5009842519684957E-2</v>
      </c>
    </row>
    <row r="62" spans="1:31" x14ac:dyDescent="0.25">
      <c r="W62" s="93">
        <v>42709</v>
      </c>
      <c r="X62" s="362">
        <v>39.700000000000003</v>
      </c>
      <c r="Y62" s="40">
        <v>40.99</v>
      </c>
      <c r="Z62" s="40">
        <v>39.479999999999997</v>
      </c>
      <c r="AA62" s="362">
        <v>40.64</v>
      </c>
      <c r="AB62" s="94">
        <v>1406200</v>
      </c>
      <c r="AC62" s="242">
        <v>40.64</v>
      </c>
      <c r="AD62" s="2">
        <f t="shared" si="0"/>
        <v>1.5100000000000051</v>
      </c>
      <c r="AE62" s="137">
        <f t="shared" si="1"/>
        <v>3.4623217922606919E-2</v>
      </c>
    </row>
    <row r="63" spans="1:31" x14ac:dyDescent="0.25">
      <c r="W63" s="93">
        <v>42706</v>
      </c>
      <c r="X63" s="362">
        <v>38.71</v>
      </c>
      <c r="Y63" s="40">
        <v>39.33</v>
      </c>
      <c r="Z63" s="40">
        <v>38.659999999999997</v>
      </c>
      <c r="AA63" s="362">
        <v>39.28</v>
      </c>
      <c r="AB63" s="94">
        <v>1092300</v>
      </c>
      <c r="AC63" s="242">
        <v>39.28</v>
      </c>
      <c r="AD63" s="2">
        <f t="shared" si="0"/>
        <v>0.67000000000000171</v>
      </c>
      <c r="AE63" s="137">
        <f t="shared" si="1"/>
        <v>1.1068211068210987E-2</v>
      </c>
    </row>
    <row r="64" spans="1:31" x14ac:dyDescent="0.25">
      <c r="W64" s="93">
        <v>42705</v>
      </c>
      <c r="X64" s="362">
        <v>39.869999999999997</v>
      </c>
      <c r="Y64" s="40">
        <v>40.28</v>
      </c>
      <c r="Z64" s="40">
        <v>38.68</v>
      </c>
      <c r="AA64" s="362">
        <v>38.85</v>
      </c>
      <c r="AB64" s="94">
        <v>1323700</v>
      </c>
      <c r="AC64" s="242">
        <v>38.85</v>
      </c>
      <c r="AD64" s="2">
        <f t="shared" si="0"/>
        <v>1.6000000000000014</v>
      </c>
      <c r="AE64" s="137">
        <f t="shared" si="1"/>
        <v>-2.4114544084400946E-2</v>
      </c>
    </row>
    <row r="65" spans="23:31" x14ac:dyDescent="0.25">
      <c r="W65" s="93">
        <v>42704</v>
      </c>
      <c r="X65" s="362">
        <v>40.479999999999997</v>
      </c>
      <c r="Y65" s="40">
        <v>40.479999999999997</v>
      </c>
      <c r="Z65" s="40">
        <v>39.32</v>
      </c>
      <c r="AA65" s="362">
        <v>39.81</v>
      </c>
      <c r="AB65" s="94">
        <v>1752300</v>
      </c>
      <c r="AC65" s="242">
        <v>39.81</v>
      </c>
      <c r="AD65" s="2">
        <f t="shared" si="0"/>
        <v>1.1599999999999966</v>
      </c>
      <c r="AE65" s="137">
        <f t="shared" si="1"/>
        <v>-2.2107590272660294E-2</v>
      </c>
    </row>
    <row r="66" spans="23:31" x14ac:dyDescent="0.25">
      <c r="W66" s="93">
        <v>42703</v>
      </c>
      <c r="X66" s="362">
        <v>40.31</v>
      </c>
      <c r="Y66" s="40">
        <v>40.71</v>
      </c>
      <c r="Z66" s="40">
        <v>40.090000000000003</v>
      </c>
      <c r="AA66" s="362">
        <v>40.71</v>
      </c>
      <c r="AB66" s="94">
        <v>1220600</v>
      </c>
      <c r="AC66" s="242">
        <v>40.71</v>
      </c>
      <c r="AD66" s="2">
        <f t="shared" si="0"/>
        <v>0.61999999999999744</v>
      </c>
      <c r="AE66" s="137">
        <f t="shared" si="1"/>
        <v>1.5211970074813008E-2</v>
      </c>
    </row>
    <row r="67" spans="23:31" x14ac:dyDescent="0.25">
      <c r="W67" s="93">
        <v>42702</v>
      </c>
      <c r="X67" s="362">
        <v>40.51</v>
      </c>
      <c r="Y67" s="40">
        <v>40.659999999999997</v>
      </c>
      <c r="Z67" s="40">
        <v>39.770000000000003</v>
      </c>
      <c r="AA67" s="362">
        <v>40.1</v>
      </c>
      <c r="AB67" s="94">
        <v>1525400</v>
      </c>
      <c r="AC67" s="242">
        <v>40.1</v>
      </c>
      <c r="AD67" s="2">
        <f t="shared" si="0"/>
        <v>0.88999999999999346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39" priority="17">
      <formula>F28&gt;0</formula>
    </cfRule>
    <cfRule type="expression" dxfId="538" priority="18">
      <formula>F28&lt;0</formula>
    </cfRule>
  </conditionalFormatting>
  <conditionalFormatting sqref="F28 F33:F35">
    <cfRule type="expression" dxfId="537" priority="19">
      <formula>F28&gt;0</formula>
    </cfRule>
    <cfRule type="expression" dxfId="536" priority="20">
      <formula>F28&lt;0</formula>
    </cfRule>
  </conditionalFormatting>
  <conditionalFormatting sqref="H28 H33:H35">
    <cfRule type="expression" dxfId="535" priority="15">
      <formula>H28&gt;0</formula>
    </cfRule>
    <cfRule type="expression" dxfId="534" priority="16">
      <formula>H28&lt;0</formula>
    </cfRule>
  </conditionalFormatting>
  <conditionalFormatting sqref="F21:F27">
    <cfRule type="expression" dxfId="533" priority="13">
      <formula>F21&gt;0</formula>
    </cfRule>
    <cfRule type="expression" dxfId="532" priority="14">
      <formula>F21&lt;0</formula>
    </cfRule>
  </conditionalFormatting>
  <conditionalFormatting sqref="H21:H27">
    <cfRule type="expression" dxfId="531" priority="11">
      <formula>H21&gt;0</formula>
    </cfRule>
    <cfRule type="expression" dxfId="530" priority="12">
      <formula>H21&lt;0</formula>
    </cfRule>
  </conditionalFormatting>
  <conditionalFormatting sqref="Q8">
    <cfRule type="expression" dxfId="529" priority="7">
      <formula>Q8&gt;0</formula>
    </cfRule>
    <cfRule type="expression" dxfId="528" priority="8">
      <formula>Q8&lt;0</formula>
    </cfRule>
  </conditionalFormatting>
  <conditionalFormatting sqref="Q7">
    <cfRule type="expression" dxfId="527" priority="9">
      <formula>Q7&gt;0</formula>
    </cfRule>
    <cfRule type="expression" dxfId="526" priority="10">
      <formula>Q7&lt;0</formula>
    </cfRule>
  </conditionalFormatting>
  <conditionalFormatting sqref="F29:F32">
    <cfRule type="expression" dxfId="525" priority="5">
      <formula>F29&gt;0</formula>
    </cfRule>
    <cfRule type="expression" dxfId="524" priority="6">
      <formula>F29&lt;0</formula>
    </cfRule>
  </conditionalFormatting>
  <conditionalFormatting sqref="H29:H32">
    <cfRule type="expression" dxfId="523" priority="3">
      <formula>H29&gt;0</formula>
    </cfRule>
    <cfRule type="expression" dxfId="522" priority="4">
      <formula>H29&lt;0</formula>
    </cfRule>
  </conditionalFormatting>
  <conditionalFormatting sqref="M37">
    <cfRule type="expression" dxfId="521" priority="1">
      <formula>M37&gt;0</formula>
    </cfRule>
    <cfRule type="expression" dxfId="52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42797</v>
      </c>
      <c r="X2" s="362">
        <v>238.17</v>
      </c>
      <c r="Y2" s="40">
        <v>238.61</v>
      </c>
      <c r="Z2" s="40">
        <v>237.73</v>
      </c>
      <c r="AA2" s="362">
        <v>238.42</v>
      </c>
      <c r="AB2" s="94">
        <v>66650800</v>
      </c>
      <c r="AC2" s="242">
        <v>238.42</v>
      </c>
      <c r="AD2" s="2">
        <f>Y2-Z2</f>
        <v>0.88000000000002387</v>
      </c>
      <c r="AE2" s="137">
        <f>AC2/AC3-1</f>
        <v>6.2953791916720014E-4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237.69</v>
      </c>
      <c r="T3" s="120"/>
      <c r="W3" s="93">
        <v>42796</v>
      </c>
      <c r="X3" s="362">
        <v>239.56</v>
      </c>
      <c r="Y3" s="40">
        <v>239.57</v>
      </c>
      <c r="Z3" s="40">
        <v>238.21</v>
      </c>
      <c r="AA3" s="362">
        <v>238.27</v>
      </c>
      <c r="AB3" s="94">
        <v>68591300</v>
      </c>
      <c r="AC3" s="242">
        <v>238.27</v>
      </c>
      <c r="AD3" s="2">
        <f>Y3-Z3</f>
        <v>1.3599999999999852</v>
      </c>
      <c r="AE3" s="137">
        <f>AC3/AC4-1</f>
        <v>-6.2974393193760969E-3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237.69</v>
      </c>
      <c r="R4" s="499">
        <v>3.5000000000000001E-3</v>
      </c>
      <c r="T4" s="120"/>
      <c r="W4" s="93">
        <v>42795</v>
      </c>
      <c r="X4" s="362">
        <v>238.39</v>
      </c>
      <c r="Y4" s="40">
        <v>240.32</v>
      </c>
      <c r="Z4" s="40">
        <v>238.37</v>
      </c>
      <c r="AA4" s="362">
        <v>239.78</v>
      </c>
      <c r="AB4" s="94">
        <v>126589300</v>
      </c>
      <c r="AC4" s="242">
        <v>239.78</v>
      </c>
      <c r="AD4" s="2">
        <f t="shared" ref="AD4:AD67" si="0">Y4-Z4</f>
        <v>1.9499999999999886</v>
      </c>
      <c r="AE4" s="137">
        <f t="shared" ref="AE4:AE67" si="1">AC4/AC5-1</f>
        <v>1.3997547257580178E-2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42794</v>
      </c>
      <c r="X5" s="362">
        <v>236.67</v>
      </c>
      <c r="Y5" s="40">
        <v>236.95</v>
      </c>
      <c r="Z5" s="40">
        <v>236.02</v>
      </c>
      <c r="AA5" s="362">
        <v>236.47</v>
      </c>
      <c r="AB5" s="94">
        <v>74571700</v>
      </c>
      <c r="AC5" s="242">
        <v>236.47</v>
      </c>
      <c r="AD5" s="2">
        <f t="shared" si="0"/>
        <v>0.9299999999999784</v>
      </c>
      <c r="AE5" s="137">
        <f t="shared" si="1"/>
        <v>-2.6991691619924207E-3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42793</v>
      </c>
      <c r="X6" s="362">
        <v>236.64</v>
      </c>
      <c r="Y6" s="40">
        <v>237.31</v>
      </c>
      <c r="Z6" s="40">
        <v>236.35</v>
      </c>
      <c r="AA6" s="362">
        <v>237.11</v>
      </c>
      <c r="AB6" s="94">
        <v>51496800</v>
      </c>
      <c r="AC6" s="242">
        <v>237.11</v>
      </c>
      <c r="AD6" s="2">
        <f t="shared" si="0"/>
        <v>0.96000000000000796</v>
      </c>
      <c r="AE6" s="137">
        <f t="shared" si="1"/>
        <v>1.5628960040550144E-3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42790</v>
      </c>
      <c r="X7" s="362">
        <v>235.46</v>
      </c>
      <c r="Y7" s="40">
        <v>236.79</v>
      </c>
      <c r="Z7" s="40">
        <v>235.41</v>
      </c>
      <c r="AA7" s="362">
        <v>236.74</v>
      </c>
      <c r="AB7" s="94">
        <v>77141500</v>
      </c>
      <c r="AC7" s="242">
        <v>236.74</v>
      </c>
      <c r="AD7" s="2">
        <f t="shared" si="0"/>
        <v>1.3799999999999955</v>
      </c>
      <c r="AE7" s="137">
        <f t="shared" si="1"/>
        <v>1.2688208424971315E-3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42789</v>
      </c>
      <c r="X8" s="362">
        <v>236.88</v>
      </c>
      <c r="Y8" s="40">
        <v>236.9</v>
      </c>
      <c r="Z8" s="40">
        <v>235.56</v>
      </c>
      <c r="AA8" s="362">
        <v>236.44</v>
      </c>
      <c r="AB8" s="94">
        <v>70424700</v>
      </c>
      <c r="AC8" s="242">
        <v>236.44</v>
      </c>
      <c r="AD8" s="2">
        <f t="shared" si="0"/>
        <v>1.3400000000000034</v>
      </c>
      <c r="AE8" s="137">
        <f t="shared" si="1"/>
        <v>6.7716268833595272E-4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42788</v>
      </c>
      <c r="X9" s="362">
        <v>236.02</v>
      </c>
      <c r="Y9" s="40">
        <v>236.54</v>
      </c>
      <c r="Z9" s="40">
        <v>235.83</v>
      </c>
      <c r="AA9" s="362">
        <v>236.28</v>
      </c>
      <c r="AB9" s="94">
        <v>59227500</v>
      </c>
      <c r="AC9" s="242">
        <v>236.28</v>
      </c>
      <c r="AD9" s="2">
        <f t="shared" si="0"/>
        <v>0.70999999999997954</v>
      </c>
      <c r="AE9" s="137">
        <f t="shared" si="1"/>
        <v>-8.879868070531538E-4</v>
      </c>
      <c r="AK9" s="233"/>
      <c r="AN9" s="233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42787</v>
      </c>
      <c r="X10" s="362">
        <v>235.52</v>
      </c>
      <c r="Y10" s="40">
        <v>236.69</v>
      </c>
      <c r="Z10" s="40">
        <v>235.51</v>
      </c>
      <c r="AA10" s="362">
        <v>236.49</v>
      </c>
      <c r="AB10" s="94">
        <v>77150800</v>
      </c>
      <c r="AC10" s="242">
        <v>236.49</v>
      </c>
      <c r="AD10" s="2">
        <f t="shared" si="0"/>
        <v>1.1800000000000068</v>
      </c>
      <c r="AE10" s="137">
        <f t="shared" si="1"/>
        <v>5.9551661065975203E-3</v>
      </c>
    </row>
    <row r="11" spans="1:40" x14ac:dyDescent="0.25">
      <c r="O11" s="11" t="s">
        <v>178</v>
      </c>
      <c r="Q11" s="137">
        <v>0</v>
      </c>
      <c r="W11" s="93">
        <v>42783</v>
      </c>
      <c r="X11" s="362">
        <v>233.95</v>
      </c>
      <c r="Y11" s="40">
        <v>235.09</v>
      </c>
      <c r="Z11" s="40">
        <v>233.93</v>
      </c>
      <c r="AA11" s="362">
        <v>235.09</v>
      </c>
      <c r="AB11" s="94">
        <v>70077600</v>
      </c>
      <c r="AC11" s="242">
        <v>235.09</v>
      </c>
      <c r="AD11" s="2">
        <f t="shared" si="0"/>
        <v>1.1599999999999966</v>
      </c>
      <c r="AE11" s="137">
        <f t="shared" si="1"/>
        <v>1.5763462849351928E-3</v>
      </c>
      <c r="AK11" s="233"/>
      <c r="AN11" s="233"/>
    </row>
    <row r="12" spans="1:40" x14ac:dyDescent="0.25">
      <c r="W12" s="93">
        <v>42782</v>
      </c>
      <c r="X12" s="362">
        <v>234.95</v>
      </c>
      <c r="Y12" s="40">
        <v>235.16</v>
      </c>
      <c r="Z12" s="40">
        <v>233.85</v>
      </c>
      <c r="AA12" s="362">
        <v>234.72</v>
      </c>
      <c r="AB12" s="94">
        <v>81062900</v>
      </c>
      <c r="AC12" s="242">
        <v>234.72</v>
      </c>
      <c r="AD12" s="2">
        <f t="shared" si="0"/>
        <v>1.3100000000000023</v>
      </c>
      <c r="AE12" s="137">
        <f t="shared" si="1"/>
        <v>-8.5135365230715188E-4</v>
      </c>
    </row>
    <row r="13" spans="1:40" x14ac:dyDescent="0.25">
      <c r="W13" s="93">
        <v>42781</v>
      </c>
      <c r="X13" s="362">
        <v>233.45</v>
      </c>
      <c r="Y13" s="40">
        <v>235.14</v>
      </c>
      <c r="Z13" s="40">
        <v>233.39</v>
      </c>
      <c r="AA13" s="362">
        <v>234.92</v>
      </c>
      <c r="AB13" s="94">
        <v>80150800</v>
      </c>
      <c r="AC13" s="242">
        <v>234.92</v>
      </c>
      <c r="AD13" s="2">
        <f t="shared" si="0"/>
        <v>1.75</v>
      </c>
      <c r="AE13" s="137">
        <f t="shared" si="1"/>
        <v>5.2203679931535074E-3</v>
      </c>
      <c r="AK13" s="233"/>
      <c r="AN13" s="233"/>
    </row>
    <row r="14" spans="1:40" x14ac:dyDescent="0.25">
      <c r="T14" s="83"/>
      <c r="U14" s="11"/>
      <c r="W14" s="93">
        <v>42780</v>
      </c>
      <c r="X14" s="362">
        <v>232.56</v>
      </c>
      <c r="Y14" s="40">
        <v>233.71</v>
      </c>
      <c r="Z14" s="40">
        <v>232.16</v>
      </c>
      <c r="AA14" s="362">
        <v>233.7</v>
      </c>
      <c r="AB14" s="94">
        <v>67794500</v>
      </c>
      <c r="AC14" s="242">
        <v>233.7</v>
      </c>
      <c r="AD14" s="2">
        <f t="shared" si="0"/>
        <v>1.5500000000000114</v>
      </c>
      <c r="AE14" s="137">
        <f t="shared" si="1"/>
        <v>3.9953602268332222E-3</v>
      </c>
    </row>
    <row r="15" spans="1:40" x14ac:dyDescent="0.25">
      <c r="W15" s="93">
        <v>42779</v>
      </c>
      <c r="X15" s="362">
        <v>232.08</v>
      </c>
      <c r="Y15" s="40">
        <v>233.07</v>
      </c>
      <c r="Z15" s="40">
        <v>232.05</v>
      </c>
      <c r="AA15" s="362">
        <v>232.77</v>
      </c>
      <c r="AB15" s="94">
        <v>53275200</v>
      </c>
      <c r="AC15" s="242">
        <v>232.77</v>
      </c>
      <c r="AD15" s="2">
        <f t="shared" si="0"/>
        <v>1.0199999999999818</v>
      </c>
      <c r="AE15" s="137">
        <f t="shared" si="1"/>
        <v>5.4425294803681634E-3</v>
      </c>
      <c r="AK15" s="233"/>
      <c r="AN15" s="233"/>
    </row>
    <row r="16" spans="1:40" x14ac:dyDescent="0.25">
      <c r="W16" s="93">
        <v>42776</v>
      </c>
      <c r="X16" s="362">
        <v>231</v>
      </c>
      <c r="Y16" s="40">
        <v>231.77</v>
      </c>
      <c r="Z16" s="40">
        <v>230.62</v>
      </c>
      <c r="AA16" s="362">
        <v>231.51</v>
      </c>
      <c r="AB16" s="94">
        <v>63630300</v>
      </c>
      <c r="AC16" s="242">
        <v>231.51</v>
      </c>
      <c r="AD16" s="2">
        <f t="shared" si="0"/>
        <v>1.1500000000000057</v>
      </c>
      <c r="AE16" s="137">
        <f t="shared" si="1"/>
        <v>3.9462272333044002E-3</v>
      </c>
    </row>
    <row r="17" spans="1:40" x14ac:dyDescent="0.25">
      <c r="W17" s="93">
        <v>42775</v>
      </c>
      <c r="X17" s="362">
        <v>229.24</v>
      </c>
      <c r="Y17" s="40">
        <v>230.95</v>
      </c>
      <c r="Z17" s="40">
        <v>229.24</v>
      </c>
      <c r="AA17" s="362">
        <v>230.6</v>
      </c>
      <c r="AB17" s="94">
        <v>63353200</v>
      </c>
      <c r="AC17" s="242">
        <v>230.6</v>
      </c>
      <c r="AD17" s="2">
        <f t="shared" si="0"/>
        <v>1.7099999999999795</v>
      </c>
      <c r="AE17" s="137">
        <f t="shared" si="1"/>
        <v>5.9326470075029558E-3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42774</v>
      </c>
      <c r="X18" s="362">
        <v>228.94</v>
      </c>
      <c r="Y18" s="40">
        <v>229.39</v>
      </c>
      <c r="Z18" s="40">
        <v>228.31</v>
      </c>
      <c r="AA18" s="362">
        <v>229.24</v>
      </c>
      <c r="AB18" s="94">
        <v>50235200</v>
      </c>
      <c r="AC18" s="242">
        <v>229.24</v>
      </c>
      <c r="AD18" s="2">
        <f t="shared" si="0"/>
        <v>1.0799999999999841</v>
      </c>
      <c r="AE18" s="137">
        <f t="shared" si="1"/>
        <v>1.3103870009609775E-3</v>
      </c>
    </row>
    <row r="19" spans="1:40" x14ac:dyDescent="0.25">
      <c r="W19" s="93">
        <v>42773</v>
      </c>
      <c r="X19" s="362">
        <v>229.38</v>
      </c>
      <c r="Y19" s="40">
        <v>229.66</v>
      </c>
      <c r="Z19" s="40">
        <v>228.72</v>
      </c>
      <c r="AA19" s="362">
        <v>228.94</v>
      </c>
      <c r="AB19" s="94">
        <v>54614900</v>
      </c>
      <c r="AC19" s="242">
        <v>228.94</v>
      </c>
      <c r="AD19" s="2">
        <f t="shared" si="0"/>
        <v>0.93999999999999773</v>
      </c>
      <c r="AE19" s="137">
        <f t="shared" si="1"/>
        <v>4.3681474686474431E-5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42772</v>
      </c>
      <c r="X20" s="362">
        <v>228.87</v>
      </c>
      <c r="Y20" s="40">
        <v>229.33</v>
      </c>
      <c r="Z20" s="40">
        <v>228.54</v>
      </c>
      <c r="AA20" s="362">
        <v>228.93</v>
      </c>
      <c r="AB20" s="94">
        <v>56153300</v>
      </c>
      <c r="AC20" s="242">
        <v>228.93</v>
      </c>
      <c r="AD20" s="2">
        <f t="shared" si="0"/>
        <v>0.79000000000002046</v>
      </c>
      <c r="AE20" s="137">
        <f t="shared" si="1"/>
        <v>-1.7877387285253343E-3</v>
      </c>
    </row>
    <row r="21" spans="1:40" x14ac:dyDescent="0.25">
      <c r="B21" s="192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0">
        <f>(E21-D21)/D21</f>
        <v>-5.0803525142561852E-3</v>
      </c>
      <c r="I21" s="40"/>
      <c r="W21" s="93">
        <v>42769</v>
      </c>
      <c r="X21" s="362">
        <v>228.82</v>
      </c>
      <c r="Y21" s="40">
        <v>229.55</v>
      </c>
      <c r="Z21" s="40">
        <v>228.46</v>
      </c>
      <c r="AA21" s="362">
        <v>229.34</v>
      </c>
      <c r="AB21" s="94">
        <v>78056400</v>
      </c>
      <c r="AC21" s="242">
        <v>229.34</v>
      </c>
      <c r="AD21" s="2">
        <f t="shared" si="0"/>
        <v>1.0900000000000034</v>
      </c>
      <c r="AE21" s="137">
        <f t="shared" si="1"/>
        <v>6.892918294771011E-3</v>
      </c>
      <c r="AK21" s="233"/>
      <c r="AN21" s="233"/>
    </row>
    <row r="22" spans="1:40" x14ac:dyDescent="0.25">
      <c r="B22" s="192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0">
        <f t="shared" ref="H22:H28" si="4">(E22-D22)/D22</f>
        <v>-2.0179676332182071E-2</v>
      </c>
      <c r="I22" s="40"/>
      <c r="W22" s="93">
        <v>42768</v>
      </c>
      <c r="X22" s="362">
        <v>227.62</v>
      </c>
      <c r="Y22" s="40">
        <v>228.1</v>
      </c>
      <c r="Z22" s="40">
        <v>226.82</v>
      </c>
      <c r="AA22" s="362">
        <v>227.77</v>
      </c>
      <c r="AB22" s="94">
        <v>67943600</v>
      </c>
      <c r="AC22" s="242">
        <v>227.77</v>
      </c>
      <c r="AD22" s="2">
        <f t="shared" si="0"/>
        <v>1.2800000000000011</v>
      </c>
      <c r="AE22" s="137">
        <f t="shared" si="1"/>
        <v>6.5899305860650514E-4</v>
      </c>
    </row>
    <row r="23" spans="1:40" x14ac:dyDescent="0.25">
      <c r="B23" s="192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0">
        <f t="shared" si="4"/>
        <v>1.2399746728577429E-2</v>
      </c>
      <c r="I23" s="40"/>
      <c r="W23" s="93">
        <v>42767</v>
      </c>
      <c r="X23" s="362">
        <v>227.53</v>
      </c>
      <c r="Y23" s="40">
        <v>228.59</v>
      </c>
      <c r="Z23" s="40">
        <v>226.94</v>
      </c>
      <c r="AA23" s="362">
        <v>227.62</v>
      </c>
      <c r="AB23" s="94">
        <v>74366500</v>
      </c>
      <c r="AC23" s="242">
        <v>227.62</v>
      </c>
      <c r="AD23" s="2">
        <f t="shared" si="0"/>
        <v>1.6500000000000057</v>
      </c>
      <c r="AE23" s="137">
        <f t="shared" si="1"/>
        <v>3.9555223487020008E-4</v>
      </c>
      <c r="AK23" s="233"/>
    </row>
    <row r="24" spans="1:40" x14ac:dyDescent="0.25">
      <c r="B24" s="192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0">
        <f t="shared" si="4"/>
        <v>-2.2897397346876083E-3</v>
      </c>
      <c r="I24" s="40"/>
      <c r="W24" s="93">
        <v>42766</v>
      </c>
      <c r="X24" s="362">
        <v>226.98</v>
      </c>
      <c r="Y24" s="40">
        <v>227.6</v>
      </c>
      <c r="Z24" s="40">
        <v>226.32</v>
      </c>
      <c r="AA24" s="362">
        <v>227.53</v>
      </c>
      <c r="AB24" s="94">
        <v>71553600</v>
      </c>
      <c r="AC24" s="242">
        <v>227.53</v>
      </c>
      <c r="AD24" s="2">
        <f t="shared" si="0"/>
        <v>1.2800000000000011</v>
      </c>
      <c r="AE24" s="137">
        <f t="shared" si="1"/>
        <v>-8.7892770819664179E-5</v>
      </c>
    </row>
    <row r="25" spans="1:40" x14ac:dyDescent="0.25">
      <c r="B25" s="192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0">
        <f t="shared" si="4"/>
        <v>-1.0009888154930204E-2</v>
      </c>
      <c r="I25" s="40"/>
      <c r="W25" s="93">
        <v>42765</v>
      </c>
      <c r="X25" s="362">
        <v>228.17</v>
      </c>
      <c r="Y25" s="40">
        <v>228.2</v>
      </c>
      <c r="Z25" s="40">
        <v>226.41</v>
      </c>
      <c r="AA25" s="362">
        <v>227.55</v>
      </c>
      <c r="AB25" s="94">
        <v>74930800</v>
      </c>
      <c r="AC25" s="242">
        <v>227.55</v>
      </c>
      <c r="AD25" s="2">
        <f t="shared" si="0"/>
        <v>1.789999999999992</v>
      </c>
      <c r="AE25" s="137">
        <f t="shared" si="1"/>
        <v>-6.2016858103680628E-3</v>
      </c>
    </row>
    <row r="26" spans="1:40" x14ac:dyDescent="0.25">
      <c r="B26" s="192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0">
        <f t="shared" si="4"/>
        <v>2.0355495338559317E-2</v>
      </c>
      <c r="I26" s="40"/>
      <c r="W26" s="93">
        <v>42762</v>
      </c>
      <c r="X26" s="362">
        <v>229.42</v>
      </c>
      <c r="Y26" s="40">
        <v>229.59</v>
      </c>
      <c r="Z26" s="40">
        <v>228.76</v>
      </c>
      <c r="AA26" s="362">
        <v>228.97</v>
      </c>
      <c r="AB26" s="94">
        <v>56311600</v>
      </c>
      <c r="AC26" s="242">
        <v>228.97</v>
      </c>
      <c r="AD26" s="2">
        <f t="shared" si="0"/>
        <v>0.83000000000001251</v>
      </c>
      <c r="AE26" s="137">
        <f t="shared" si="1"/>
        <v>-1.5697902585793955E-3</v>
      </c>
    </row>
    <row r="27" spans="1:40" x14ac:dyDescent="0.25">
      <c r="B27" s="192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0">
        <f t="shared" si="4"/>
        <v>0.1405631973552158</v>
      </c>
      <c r="I27" s="40"/>
      <c r="W27" s="93">
        <v>42761</v>
      </c>
      <c r="X27" s="362">
        <v>229.4</v>
      </c>
      <c r="Y27" s="40">
        <v>229.71</v>
      </c>
      <c r="Z27" s="40">
        <v>229.01</v>
      </c>
      <c r="AA27" s="362">
        <v>229.33</v>
      </c>
      <c r="AB27" s="94">
        <v>58208000</v>
      </c>
      <c r="AC27" s="242">
        <v>229.33</v>
      </c>
      <c r="AD27" s="2">
        <f t="shared" si="0"/>
        <v>0.70000000000001705</v>
      </c>
      <c r="AE27" s="137">
        <f t="shared" si="1"/>
        <v>-1.0454327656052032E-3</v>
      </c>
    </row>
    <row r="28" spans="1:40" x14ac:dyDescent="0.25">
      <c r="B28" s="192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0">
        <f t="shared" si="4"/>
        <v>0.17480370742074511</v>
      </c>
      <c r="I28" s="40"/>
      <c r="W28" s="93">
        <v>42760</v>
      </c>
      <c r="X28" s="362">
        <v>228.7</v>
      </c>
      <c r="Y28" s="40">
        <v>229.57</v>
      </c>
      <c r="Z28" s="40">
        <v>228.51</v>
      </c>
      <c r="AA28" s="362">
        <v>229.57</v>
      </c>
      <c r="AB28" s="94">
        <v>80932500</v>
      </c>
      <c r="AC28" s="242">
        <v>229.57</v>
      </c>
      <c r="AD28" s="2">
        <f t="shared" si="0"/>
        <v>1.0600000000000023</v>
      </c>
      <c r="AE28" s="137">
        <f t="shared" si="1"/>
        <v>8.6555360281195259E-3</v>
      </c>
    </row>
    <row r="29" spans="1:40" x14ac:dyDescent="0.25">
      <c r="B29" s="192">
        <v>42440</v>
      </c>
      <c r="C29" s="10">
        <v>0</v>
      </c>
      <c r="D29" s="40"/>
      <c r="E29" s="40"/>
      <c r="F29" s="40">
        <v>160.83000000000001</v>
      </c>
      <c r="G29" s="40"/>
      <c r="H29" s="230"/>
      <c r="I29" s="40"/>
      <c r="W29" s="93">
        <v>42759</v>
      </c>
      <c r="X29" s="362">
        <v>226.4</v>
      </c>
      <c r="Y29" s="40">
        <v>228.08</v>
      </c>
      <c r="Z29" s="40">
        <v>226.27</v>
      </c>
      <c r="AA29" s="362">
        <v>227.6</v>
      </c>
      <c r="AB29" s="94">
        <v>89144800</v>
      </c>
      <c r="AC29" s="242">
        <v>227.6</v>
      </c>
      <c r="AD29" s="2">
        <f t="shared" si="0"/>
        <v>1.8100000000000023</v>
      </c>
      <c r="AE29" s="137">
        <f t="shared" si="1"/>
        <v>6.4116736679193931E-3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42758</v>
      </c>
      <c r="X30" s="362">
        <v>226.74</v>
      </c>
      <c r="Y30" s="40">
        <v>226.81</v>
      </c>
      <c r="Z30" s="40">
        <v>225.27</v>
      </c>
      <c r="AA30" s="362">
        <v>226.15</v>
      </c>
      <c r="AB30" s="94">
        <v>72331900</v>
      </c>
      <c r="AC30" s="242">
        <v>226.15</v>
      </c>
      <c r="AD30" s="2">
        <f t="shared" si="0"/>
        <v>1.539999999999992</v>
      </c>
      <c r="AE30" s="137">
        <f t="shared" si="1"/>
        <v>-2.6020993208080156E-3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42755</v>
      </c>
      <c r="X31" s="362">
        <v>226.7</v>
      </c>
      <c r="Y31" s="40">
        <v>227.31</v>
      </c>
      <c r="Z31" s="40">
        <v>225.97</v>
      </c>
      <c r="AA31" s="362">
        <v>226.74</v>
      </c>
      <c r="AB31" s="94">
        <v>116431700</v>
      </c>
      <c r="AC31" s="242">
        <v>226.74</v>
      </c>
      <c r="AD31" s="2">
        <f t="shared" si="0"/>
        <v>1.3400000000000034</v>
      </c>
      <c r="AE31" s="137">
        <f t="shared" si="1"/>
        <v>3.6740294807666718E-3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42754</v>
      </c>
      <c r="X32" s="362">
        <v>226.84</v>
      </c>
      <c r="Y32" s="40">
        <v>227</v>
      </c>
      <c r="Z32" s="40">
        <v>225.41</v>
      </c>
      <c r="AA32" s="362">
        <v>225.91</v>
      </c>
      <c r="AB32" s="94">
        <v>65357500</v>
      </c>
      <c r="AC32" s="242">
        <v>225.91</v>
      </c>
      <c r="AD32" s="2">
        <f t="shared" si="0"/>
        <v>1.5900000000000034</v>
      </c>
      <c r="AE32" s="137">
        <f t="shared" si="1"/>
        <v>-3.7045203969129359E-3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42753</v>
      </c>
      <c r="X33" s="362">
        <v>226.54</v>
      </c>
      <c r="Y33" s="40">
        <v>226.8</v>
      </c>
      <c r="Z33" s="40">
        <v>225.9</v>
      </c>
      <c r="AA33" s="362">
        <v>226.75</v>
      </c>
      <c r="AB33" s="94">
        <v>51146400</v>
      </c>
      <c r="AC33" s="242">
        <v>226.75</v>
      </c>
      <c r="AD33" s="2">
        <f t="shared" si="0"/>
        <v>0.90000000000000568</v>
      </c>
      <c r="AE33" s="137">
        <f t="shared" si="1"/>
        <v>2.2099447513812542E-3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42752</v>
      </c>
      <c r="X34" s="362">
        <v>226.31</v>
      </c>
      <c r="Y34" s="40">
        <v>226.78</v>
      </c>
      <c r="Z34" s="40">
        <v>225.8</v>
      </c>
      <c r="AA34" s="362">
        <v>226.25</v>
      </c>
      <c r="AB34" s="94">
        <v>59261200</v>
      </c>
      <c r="AC34" s="242">
        <v>226.25</v>
      </c>
      <c r="AD34" s="2">
        <f t="shared" si="0"/>
        <v>0.97999999999998977</v>
      </c>
      <c r="AE34" s="137">
        <f t="shared" si="1"/>
        <v>-3.5234529839243134E-3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42748</v>
      </c>
      <c r="X35" s="362">
        <v>226.73</v>
      </c>
      <c r="Y35" s="40">
        <v>227.4</v>
      </c>
      <c r="Z35" s="40">
        <v>226.69</v>
      </c>
      <c r="AA35" s="362">
        <v>227.05</v>
      </c>
      <c r="AB35" s="94">
        <v>61907200</v>
      </c>
      <c r="AC35" s="242">
        <v>227.05</v>
      </c>
      <c r="AD35" s="2">
        <f t="shared" si="0"/>
        <v>0.71000000000000796</v>
      </c>
      <c r="AE35" s="137">
        <f t="shared" si="1"/>
        <v>2.295501699554281E-3</v>
      </c>
    </row>
    <row r="36" spans="1:31" x14ac:dyDescent="0.25">
      <c r="W36" s="93">
        <v>42747</v>
      </c>
      <c r="X36" s="362">
        <v>226.5</v>
      </c>
      <c r="Y36" s="40">
        <v>226.75</v>
      </c>
      <c r="Z36" s="40">
        <v>224.96</v>
      </c>
      <c r="AA36" s="362">
        <v>226.53</v>
      </c>
      <c r="AB36" s="94">
        <v>70354400</v>
      </c>
      <c r="AC36" s="242">
        <v>226.53</v>
      </c>
      <c r="AD36" s="2">
        <f t="shared" si="0"/>
        <v>1.789999999999992</v>
      </c>
      <c r="AE36" s="137">
        <f t="shared" si="1"/>
        <v>-2.509907529722577E-3</v>
      </c>
    </row>
    <row r="37" spans="1:31" x14ac:dyDescent="0.25">
      <c r="L37" t="s">
        <v>212</v>
      </c>
      <c r="M37" s="2">
        <f>M55+K55-F55</f>
        <v>160.82999999999993</v>
      </c>
      <c r="W37" s="93">
        <v>42746</v>
      </c>
      <c r="X37" s="362">
        <v>226.36</v>
      </c>
      <c r="Y37" s="40">
        <v>227.1</v>
      </c>
      <c r="Z37" s="40">
        <v>225.59</v>
      </c>
      <c r="AA37" s="362">
        <v>227.1</v>
      </c>
      <c r="AB37" s="94">
        <v>71423200</v>
      </c>
      <c r="AC37" s="242">
        <v>227.1</v>
      </c>
      <c r="AD37" s="2">
        <f t="shared" si="0"/>
        <v>1.5099999999999909</v>
      </c>
      <c r="AE37" s="137">
        <f t="shared" si="1"/>
        <v>2.8261061556125178E-3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42745</v>
      </c>
      <c r="X38" s="362">
        <v>226.48</v>
      </c>
      <c r="Y38" s="40">
        <v>227.45</v>
      </c>
      <c r="Z38" s="40">
        <v>226.01</v>
      </c>
      <c r="AA38" s="362">
        <v>226.46</v>
      </c>
      <c r="AB38" s="94">
        <v>61045000</v>
      </c>
      <c r="AC38" s="242">
        <v>226.46</v>
      </c>
      <c r="AD38" s="2">
        <f t="shared" si="0"/>
        <v>1.4399999999999977</v>
      </c>
      <c r="AE38" s="137">
        <f t="shared" si="1"/>
        <v>0</v>
      </c>
    </row>
    <row r="39" spans="1:31" ht="20.25" thickBot="1" x14ac:dyDescent="0.35">
      <c r="A39" s="264" t="s">
        <v>177</v>
      </c>
      <c r="B39" s="265">
        <v>42377</v>
      </c>
      <c r="C39" s="260">
        <v>20</v>
      </c>
      <c r="D39" s="261">
        <v>192.9</v>
      </c>
      <c r="E39" s="261">
        <v>0</v>
      </c>
      <c r="F39" s="261">
        <f>C39*D39+E39</f>
        <v>3858</v>
      </c>
      <c r="G39" s="265">
        <v>42398</v>
      </c>
      <c r="H39" s="266">
        <v>20</v>
      </c>
      <c r="I39" s="261">
        <v>192.22</v>
      </c>
      <c r="J39" s="261">
        <v>7.0000000000000007E-2</v>
      </c>
      <c r="K39" s="261">
        <f>H39*I39-J39</f>
        <v>3844.33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42744</v>
      </c>
      <c r="X39" s="362">
        <v>226.91</v>
      </c>
      <c r="Y39" s="40">
        <v>227.07</v>
      </c>
      <c r="Z39" s="40">
        <v>226.42</v>
      </c>
      <c r="AA39" s="362">
        <v>226.46</v>
      </c>
      <c r="AB39" s="94">
        <v>46265300</v>
      </c>
      <c r="AC39" s="242">
        <v>226.46</v>
      </c>
      <c r="AD39" s="2">
        <f t="shared" si="0"/>
        <v>0.65000000000000568</v>
      </c>
      <c r="AE39" s="137">
        <f t="shared" si="1"/>
        <v>-3.3009110514502504E-3</v>
      </c>
    </row>
    <row r="40" spans="1:31" ht="15.75" thickTop="1" x14ac:dyDescent="0.25">
      <c r="A40" s="267" t="s">
        <v>71</v>
      </c>
      <c r="B40" s="265">
        <v>42384</v>
      </c>
      <c r="C40" s="260">
        <v>5</v>
      </c>
      <c r="D40" s="261">
        <v>186.79</v>
      </c>
      <c r="E40" s="261">
        <v>0</v>
      </c>
      <c r="F40" s="261">
        <f>C40*D40+E40</f>
        <v>933.94999999999993</v>
      </c>
      <c r="G40" s="265">
        <v>42416</v>
      </c>
      <c r="H40" s="266">
        <v>10</v>
      </c>
      <c r="I40" s="261">
        <v>189.25</v>
      </c>
      <c r="J40" s="261">
        <v>0.04</v>
      </c>
      <c r="K40" s="261">
        <f>H40*I40-J40</f>
        <v>1892.46</v>
      </c>
      <c r="L40" s="260"/>
      <c r="M40" s="260"/>
      <c r="O40" s="2"/>
      <c r="P40" s="82">
        <v>1.1000000000000001</v>
      </c>
      <c r="Q40" s="82">
        <f>P40*$Q$4</f>
        <v>261.459</v>
      </c>
      <c r="R40" s="34"/>
      <c r="T40" s="96" t="s">
        <v>98</v>
      </c>
      <c r="U40" s="128">
        <v>238.27</v>
      </c>
      <c r="W40" s="93">
        <v>42741</v>
      </c>
      <c r="X40" s="362">
        <v>226.53</v>
      </c>
      <c r="Y40" s="40">
        <v>227.75</v>
      </c>
      <c r="Z40" s="40">
        <v>225.9</v>
      </c>
      <c r="AA40" s="362">
        <v>227.21</v>
      </c>
      <c r="AB40" s="94">
        <v>69536300</v>
      </c>
      <c r="AC40" s="242">
        <v>227.21</v>
      </c>
      <c r="AD40" s="2">
        <f t="shared" si="0"/>
        <v>1.8499999999999943</v>
      </c>
      <c r="AE40" s="137">
        <f t="shared" si="1"/>
        <v>3.5777385159010411E-3</v>
      </c>
    </row>
    <row r="41" spans="1:31" x14ac:dyDescent="0.25">
      <c r="A41" s="260"/>
      <c r="B41" s="265">
        <v>42405</v>
      </c>
      <c r="C41" s="260">
        <v>15</v>
      </c>
      <c r="D41" s="261">
        <v>187.8</v>
      </c>
      <c r="E41" s="261">
        <v>0</v>
      </c>
      <c r="F41" s="261">
        <f>C41*D41+E41</f>
        <v>2817</v>
      </c>
      <c r="G41" s="265">
        <v>42424</v>
      </c>
      <c r="H41" s="266">
        <v>10</v>
      </c>
      <c r="I41" s="261">
        <v>194.3</v>
      </c>
      <c r="J41" s="261">
        <v>0.04</v>
      </c>
      <c r="K41" s="261">
        <f>H41*I41-J41</f>
        <v>1942.96</v>
      </c>
      <c r="L41" s="260"/>
      <c r="M41" s="260"/>
      <c r="O41" s="2"/>
      <c r="P41" s="82">
        <v>1.0900000000000001</v>
      </c>
      <c r="Q41" s="82">
        <f t="shared" ref="Q41:Q60" si="5">P41*$Q$4</f>
        <v>259.08210000000003</v>
      </c>
      <c r="R41" s="34"/>
      <c r="T41" s="86" t="s">
        <v>99</v>
      </c>
      <c r="U41" s="129">
        <v>238.17</v>
      </c>
      <c r="W41" s="93">
        <v>42740</v>
      </c>
      <c r="X41" s="362">
        <v>226.27</v>
      </c>
      <c r="Y41" s="40">
        <v>226.58</v>
      </c>
      <c r="Z41" s="40">
        <v>225.48</v>
      </c>
      <c r="AA41" s="362">
        <v>226.4</v>
      </c>
      <c r="AB41" s="94">
        <v>77145900</v>
      </c>
      <c r="AC41" s="242">
        <v>226.4</v>
      </c>
      <c r="AD41" s="2">
        <f t="shared" si="0"/>
        <v>1.1000000000000227</v>
      </c>
      <c r="AE41" s="137">
        <f t="shared" si="1"/>
        <v>-7.9442139641627829E-4</v>
      </c>
    </row>
    <row r="42" spans="1:31" x14ac:dyDescent="0.25">
      <c r="A42" s="260"/>
      <c r="B42" s="265">
        <v>42408</v>
      </c>
      <c r="C42" s="260">
        <v>5</v>
      </c>
      <c r="D42" s="261">
        <v>183.55</v>
      </c>
      <c r="E42" s="261">
        <v>0</v>
      </c>
      <c r="F42" s="261">
        <f>C42*D42+E42</f>
        <v>917.75</v>
      </c>
      <c r="G42" s="265">
        <v>42440</v>
      </c>
      <c r="H42" s="266">
        <v>5</v>
      </c>
      <c r="I42" s="261">
        <v>201.56</v>
      </c>
      <c r="J42" s="261">
        <v>0.02</v>
      </c>
      <c r="K42" s="261">
        <f>H42*I42-J42</f>
        <v>1007.78</v>
      </c>
      <c r="L42" s="260"/>
      <c r="M42" s="260"/>
      <c r="O42" s="2"/>
      <c r="P42" s="82">
        <v>1.08</v>
      </c>
      <c r="Q42" s="82">
        <f t="shared" si="5"/>
        <v>256.70519999999999</v>
      </c>
      <c r="R42" s="34"/>
      <c r="T42" s="86" t="s">
        <v>100</v>
      </c>
      <c r="U42" s="129" t="s">
        <v>129</v>
      </c>
      <c r="W42" s="93">
        <v>42739</v>
      </c>
      <c r="X42" s="362">
        <v>225.24</v>
      </c>
      <c r="Y42" s="40">
        <v>226.75</v>
      </c>
      <c r="Z42" s="40">
        <v>225.24</v>
      </c>
      <c r="AA42" s="362">
        <v>226.58</v>
      </c>
      <c r="AB42" s="94">
        <v>75801800</v>
      </c>
      <c r="AC42" s="242">
        <v>226.58</v>
      </c>
      <c r="AD42" s="2">
        <f t="shared" si="0"/>
        <v>1.5099999999999909</v>
      </c>
      <c r="AE42" s="137">
        <f t="shared" si="1"/>
        <v>5.9492097318416537E-3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254.32830000000001</v>
      </c>
      <c r="R43" s="82"/>
      <c r="T43" s="86" t="s">
        <v>101</v>
      </c>
      <c r="U43" s="129" t="s">
        <v>129</v>
      </c>
      <c r="W43" s="93">
        <v>42738</v>
      </c>
      <c r="X43" s="362">
        <v>225.04</v>
      </c>
      <c r="Y43" s="40">
        <v>225.83</v>
      </c>
      <c r="Z43" s="40">
        <v>223.88</v>
      </c>
      <c r="AA43" s="362">
        <v>225.24</v>
      </c>
      <c r="AB43" s="94">
        <v>89895000</v>
      </c>
      <c r="AC43" s="242">
        <v>225.24</v>
      </c>
      <c r="AD43" s="2">
        <f t="shared" si="0"/>
        <v>1.9500000000000171</v>
      </c>
      <c r="AE43" s="137">
        <f t="shared" si="1"/>
        <v>7.6499798684741549E-3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251.95140000000001</v>
      </c>
      <c r="R44" s="82"/>
      <c r="T44" s="86" t="s">
        <v>338</v>
      </c>
      <c r="U44" s="129">
        <v>238.52</v>
      </c>
      <c r="W44" s="93">
        <v>42734</v>
      </c>
      <c r="X44" s="362">
        <v>224.73</v>
      </c>
      <c r="Y44" s="40">
        <v>224.83</v>
      </c>
      <c r="Z44" s="40">
        <v>222.73</v>
      </c>
      <c r="AA44" s="362">
        <v>223.53</v>
      </c>
      <c r="AB44" s="94">
        <v>101301800</v>
      </c>
      <c r="AC44" s="242">
        <v>223.53</v>
      </c>
      <c r="AD44" s="2">
        <f t="shared" si="0"/>
        <v>2.1000000000000227</v>
      </c>
      <c r="AE44" s="137">
        <f t="shared" si="1"/>
        <v>-3.6550033429908479E-3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249.5745</v>
      </c>
      <c r="R45" s="82"/>
      <c r="T45" s="86" t="s">
        <v>339</v>
      </c>
      <c r="U45" s="129" t="s">
        <v>670</v>
      </c>
      <c r="W45" s="93">
        <v>42733</v>
      </c>
      <c r="X45" s="362">
        <v>224.48</v>
      </c>
      <c r="Y45" s="40">
        <v>224.89</v>
      </c>
      <c r="Z45" s="40">
        <v>223.84</v>
      </c>
      <c r="AA45" s="362">
        <v>224.35</v>
      </c>
      <c r="AB45" s="94">
        <v>47719500</v>
      </c>
      <c r="AC45" s="242">
        <v>224.35</v>
      </c>
      <c r="AD45" s="2">
        <f t="shared" si="0"/>
        <v>1.0499999999999829</v>
      </c>
      <c r="AE45" s="137">
        <f t="shared" si="1"/>
        <v>-2.2281639928700692E-4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247.19759999999999</v>
      </c>
      <c r="R46" s="82"/>
      <c r="T46" s="86" t="s">
        <v>340</v>
      </c>
      <c r="U46" s="231">
        <v>5.79E-2</v>
      </c>
      <c r="W46" s="93">
        <v>42732</v>
      </c>
      <c r="X46" s="362">
        <v>226.57</v>
      </c>
      <c r="Y46" s="40">
        <v>226.59</v>
      </c>
      <c r="Z46" s="40">
        <v>224.27</v>
      </c>
      <c r="AA46" s="362">
        <v>224.4</v>
      </c>
      <c r="AB46" s="94">
        <v>59776300</v>
      </c>
      <c r="AC46" s="242">
        <v>224.4</v>
      </c>
      <c r="AD46" s="2">
        <f t="shared" si="0"/>
        <v>2.3199999999999932</v>
      </c>
      <c r="AE46" s="137">
        <f t="shared" si="1"/>
        <v>-8.2644628099173278E-3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244.82070000000002</v>
      </c>
      <c r="R47" s="82"/>
      <c r="T47" s="86"/>
      <c r="U47" s="129"/>
      <c r="W47" s="93">
        <v>42731</v>
      </c>
      <c r="X47" s="362">
        <v>226.02</v>
      </c>
      <c r="Y47" s="40">
        <v>226.73</v>
      </c>
      <c r="Z47" s="40">
        <v>226</v>
      </c>
      <c r="AA47" s="362">
        <v>226.27</v>
      </c>
      <c r="AB47" s="94">
        <v>41054400</v>
      </c>
      <c r="AC47" s="242">
        <v>226.27</v>
      </c>
      <c r="AD47" s="2">
        <f t="shared" si="0"/>
        <v>0.72999999999998977</v>
      </c>
      <c r="AE47" s="137">
        <f t="shared" si="1"/>
        <v>2.4810597669575607E-3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242.44380000000001</v>
      </c>
      <c r="R48" s="82"/>
      <c r="T48" s="86" t="s">
        <v>105</v>
      </c>
      <c r="U48" s="129" t="s">
        <v>671</v>
      </c>
      <c r="W48" s="93">
        <v>42727</v>
      </c>
      <c r="X48" s="362">
        <v>225.43</v>
      </c>
      <c r="Y48" s="40">
        <v>225.72</v>
      </c>
      <c r="Z48" s="40">
        <v>225.21</v>
      </c>
      <c r="AA48" s="362">
        <v>225.71</v>
      </c>
      <c r="AB48" s="94">
        <v>36251400</v>
      </c>
      <c r="AC48" s="242">
        <v>225.71</v>
      </c>
      <c r="AD48" s="2">
        <f t="shared" si="0"/>
        <v>0.50999999999999091</v>
      </c>
      <c r="AE48" s="137">
        <f t="shared" si="1"/>
        <v>1.4641938060164783E-3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240.0669</v>
      </c>
      <c r="R49" s="82"/>
      <c r="T49" s="86" t="s">
        <v>106</v>
      </c>
      <c r="U49" s="129" t="s">
        <v>565</v>
      </c>
      <c r="W49" s="93">
        <v>42726</v>
      </c>
      <c r="X49" s="362">
        <v>225.6</v>
      </c>
      <c r="Y49" s="40">
        <v>225.74</v>
      </c>
      <c r="Z49" s="40">
        <v>224.92</v>
      </c>
      <c r="AA49" s="362">
        <v>225.38</v>
      </c>
      <c r="AB49" s="94">
        <v>56219100</v>
      </c>
      <c r="AC49" s="242">
        <v>225.38</v>
      </c>
      <c r="AD49" s="2">
        <f t="shared" si="0"/>
        <v>0.8200000000000216</v>
      </c>
      <c r="AE49" s="137">
        <f t="shared" si="1"/>
        <v>-1.727421712362176E-3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237.69</v>
      </c>
      <c r="R50" s="82"/>
      <c r="T50" s="86" t="s">
        <v>107</v>
      </c>
      <c r="U50" s="130">
        <v>81974300</v>
      </c>
      <c r="W50" s="93">
        <v>42725</v>
      </c>
      <c r="X50" s="362">
        <v>226.25</v>
      </c>
      <c r="Y50" s="40">
        <v>226.45</v>
      </c>
      <c r="Z50" s="40">
        <v>225.77</v>
      </c>
      <c r="AA50" s="362">
        <v>225.77</v>
      </c>
      <c r="AB50" s="94">
        <v>67909000</v>
      </c>
      <c r="AC50" s="242">
        <v>225.77</v>
      </c>
      <c r="AD50" s="2">
        <f t="shared" si="0"/>
        <v>0.6799999999999784</v>
      </c>
      <c r="AE50" s="137">
        <f t="shared" si="1"/>
        <v>-2.7826855123674887E-3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235.31309999999999</v>
      </c>
      <c r="R51" s="82"/>
      <c r="T51" s="86" t="s">
        <v>110</v>
      </c>
      <c r="U51" s="130">
        <v>78704200</v>
      </c>
      <c r="W51" s="93">
        <v>42724</v>
      </c>
      <c r="X51" s="362">
        <v>226.15</v>
      </c>
      <c r="Y51" s="40">
        <v>226.57</v>
      </c>
      <c r="Z51" s="40">
        <v>225.88</v>
      </c>
      <c r="AA51" s="362">
        <v>226.4</v>
      </c>
      <c r="AB51" s="94">
        <v>89838800</v>
      </c>
      <c r="AC51" s="242">
        <v>226.4</v>
      </c>
      <c r="AD51" s="2">
        <f t="shared" si="0"/>
        <v>0.68999999999999773</v>
      </c>
      <c r="AE51" s="137">
        <f t="shared" si="1"/>
        <v>3.8575799228484087E-3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232.93619999999999</v>
      </c>
      <c r="R52" s="82"/>
      <c r="T52" s="86" t="s">
        <v>341</v>
      </c>
      <c r="U52" s="129">
        <v>20</v>
      </c>
      <c r="W52" s="93">
        <v>42723</v>
      </c>
      <c r="X52" s="362">
        <v>225.25</v>
      </c>
      <c r="Y52" s="40">
        <v>226.02</v>
      </c>
      <c r="Z52" s="40">
        <v>225.08</v>
      </c>
      <c r="AA52" s="362">
        <v>225.53</v>
      </c>
      <c r="AB52" s="94">
        <v>90341100</v>
      </c>
      <c r="AC52" s="242">
        <v>225.53</v>
      </c>
      <c r="AD52" s="2">
        <f t="shared" si="0"/>
        <v>0.93999999999999773</v>
      </c>
      <c r="AE52" s="137">
        <f t="shared" si="1"/>
        <v>2.1773906861002335E-3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230.55929999999998</v>
      </c>
      <c r="R53" s="82"/>
      <c r="T53" s="86" t="s">
        <v>342</v>
      </c>
      <c r="U53" s="129">
        <v>1.92</v>
      </c>
      <c r="W53" s="93">
        <v>42720</v>
      </c>
      <c r="X53" s="362">
        <v>226.01</v>
      </c>
      <c r="Y53" s="40">
        <v>226.08</v>
      </c>
      <c r="Z53" s="40">
        <v>224.67</v>
      </c>
      <c r="AA53" s="362">
        <v>225.04</v>
      </c>
      <c r="AB53" s="94">
        <v>156420200</v>
      </c>
      <c r="AC53" s="242">
        <v>225.04</v>
      </c>
      <c r="AD53" s="2">
        <f t="shared" si="0"/>
        <v>1.410000000000025</v>
      </c>
      <c r="AE53" s="137" t="e">
        <f t="shared" si="1"/>
        <v>#DIV/0!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228.1824</v>
      </c>
      <c r="R54" s="82"/>
      <c r="T54" s="86"/>
      <c r="U54" s="129"/>
      <c r="W54" s="93">
        <v>42720</v>
      </c>
      <c r="X54" s="362" t="s">
        <v>343</v>
      </c>
      <c r="Y54" s="40"/>
      <c r="Z54" s="40"/>
      <c r="AA54" s="362"/>
      <c r="AB54" s="94"/>
      <c r="AC54" s="242"/>
      <c r="AD54" s="2">
        <f t="shared" si="0"/>
        <v>0</v>
      </c>
      <c r="AE54" s="137">
        <f t="shared" si="1"/>
        <v>-1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225.80549999999999</v>
      </c>
      <c r="R55" s="82"/>
      <c r="T55" s="86"/>
      <c r="U55" s="129"/>
      <c r="W55" s="93">
        <v>42719</v>
      </c>
      <c r="X55" s="362">
        <v>226.16</v>
      </c>
      <c r="Y55" s="40">
        <v>227.81</v>
      </c>
      <c r="Z55" s="40">
        <v>225.89</v>
      </c>
      <c r="AA55" s="362">
        <v>226.81</v>
      </c>
      <c r="AB55" s="94">
        <v>124972600</v>
      </c>
      <c r="AC55" s="242">
        <v>225.48</v>
      </c>
      <c r="AD55" s="2">
        <f t="shared" si="0"/>
        <v>1.9200000000000159</v>
      </c>
      <c r="AE55" s="137">
        <f t="shared" si="1"/>
        <v>4.0969006056288393E-3</v>
      </c>
    </row>
    <row r="56" spans="1:31" x14ac:dyDescent="0.25">
      <c r="O56" s="2"/>
      <c r="P56" s="82">
        <v>0.94</v>
      </c>
      <c r="Q56" s="82">
        <f t="shared" si="5"/>
        <v>223.42859999999999</v>
      </c>
      <c r="R56" s="82"/>
      <c r="W56" s="93">
        <v>42718</v>
      </c>
      <c r="X56" s="362">
        <v>227.41</v>
      </c>
      <c r="Y56" s="40">
        <v>228.23</v>
      </c>
      <c r="Z56" s="40">
        <v>225.37</v>
      </c>
      <c r="AA56" s="362">
        <v>225.88</v>
      </c>
      <c r="AB56" s="94">
        <v>142501800</v>
      </c>
      <c r="AC56" s="242">
        <v>224.56</v>
      </c>
      <c r="AD56" s="2">
        <f t="shared" si="0"/>
        <v>2.8599999999999852</v>
      </c>
      <c r="AE56" s="137">
        <f t="shared" si="1"/>
        <v>-8.258622973987606E-3</v>
      </c>
    </row>
    <row r="57" spans="1:31" x14ac:dyDescent="0.25">
      <c r="O57" s="2"/>
      <c r="P57" s="82">
        <v>0.93</v>
      </c>
      <c r="Q57" s="82">
        <f t="shared" si="5"/>
        <v>221.05170000000001</v>
      </c>
      <c r="R57" s="82"/>
      <c r="W57" s="93">
        <v>42717</v>
      </c>
      <c r="X57" s="362">
        <v>227.02</v>
      </c>
      <c r="Y57" s="40">
        <v>228.34</v>
      </c>
      <c r="Z57" s="40">
        <v>227</v>
      </c>
      <c r="AA57" s="362">
        <v>227.76</v>
      </c>
      <c r="AB57" s="94">
        <v>110477500</v>
      </c>
      <c r="AC57" s="242">
        <v>226.43</v>
      </c>
      <c r="AD57" s="2">
        <f t="shared" si="0"/>
        <v>1.3400000000000034</v>
      </c>
      <c r="AE57" s="137">
        <f t="shared" si="1"/>
        <v>6.7134981326695264E-3</v>
      </c>
    </row>
    <row r="58" spans="1:31" x14ac:dyDescent="0.25">
      <c r="O58" s="2"/>
      <c r="P58" s="82">
        <v>0.92</v>
      </c>
      <c r="Q58" s="82">
        <f t="shared" si="5"/>
        <v>218.6748</v>
      </c>
      <c r="R58" s="82"/>
      <c r="W58" s="93">
        <v>42716</v>
      </c>
      <c r="X58" s="362">
        <v>226.4</v>
      </c>
      <c r="Y58" s="40">
        <v>226.96</v>
      </c>
      <c r="Z58" s="40">
        <v>225.76</v>
      </c>
      <c r="AA58" s="362">
        <v>226.25</v>
      </c>
      <c r="AB58" s="94">
        <v>102016100</v>
      </c>
      <c r="AC58" s="242">
        <v>224.92</v>
      </c>
      <c r="AD58" s="2">
        <f t="shared" si="0"/>
        <v>1.2000000000000171</v>
      </c>
      <c r="AE58" s="137">
        <f t="shared" si="1"/>
        <v>-1.1546318500755826E-3</v>
      </c>
    </row>
    <row r="59" spans="1:31" x14ac:dyDescent="0.25">
      <c r="O59" s="2"/>
      <c r="P59" s="82">
        <v>0.91</v>
      </c>
      <c r="Q59" s="82">
        <f t="shared" si="5"/>
        <v>216.2979</v>
      </c>
      <c r="R59" s="82"/>
      <c r="W59" s="93">
        <v>42713</v>
      </c>
      <c r="X59" s="362">
        <v>225.41</v>
      </c>
      <c r="Y59" s="40">
        <v>226.53</v>
      </c>
      <c r="Z59" s="40">
        <v>225.37</v>
      </c>
      <c r="AA59" s="362">
        <v>226.51</v>
      </c>
      <c r="AB59" s="94">
        <v>88005800</v>
      </c>
      <c r="AC59" s="242">
        <v>225.18</v>
      </c>
      <c r="AD59" s="2">
        <f t="shared" si="0"/>
        <v>1.1599999999999966</v>
      </c>
      <c r="AE59" s="137">
        <f t="shared" si="1"/>
        <v>6.0313630880579616E-3</v>
      </c>
    </row>
    <row r="60" spans="1:31" x14ac:dyDescent="0.25">
      <c r="O60" s="2"/>
      <c r="P60" s="82">
        <v>0.9</v>
      </c>
      <c r="Q60" s="82">
        <f t="shared" si="5"/>
        <v>213.92099999999999</v>
      </c>
      <c r="R60" s="82"/>
      <c r="W60" s="93">
        <v>42712</v>
      </c>
      <c r="X60" s="362">
        <v>224.57</v>
      </c>
      <c r="Y60" s="40">
        <v>225.7</v>
      </c>
      <c r="Z60" s="40">
        <v>224.26</v>
      </c>
      <c r="AA60" s="362">
        <v>225.15</v>
      </c>
      <c r="AB60" s="94">
        <v>99714400</v>
      </c>
      <c r="AC60" s="242">
        <v>223.83</v>
      </c>
      <c r="AD60" s="2">
        <f t="shared" si="0"/>
        <v>1.4399999999999977</v>
      </c>
      <c r="AE60" s="137">
        <f t="shared" si="1"/>
        <v>2.463274811895344E-3</v>
      </c>
    </row>
    <row r="61" spans="1:31" x14ac:dyDescent="0.25">
      <c r="W61" s="93">
        <v>42711</v>
      </c>
      <c r="X61" s="362">
        <v>221.52</v>
      </c>
      <c r="Y61" s="40">
        <v>224.67</v>
      </c>
      <c r="Z61" s="40">
        <v>221.38</v>
      </c>
      <c r="AA61" s="362">
        <v>224.6</v>
      </c>
      <c r="AB61" s="94">
        <v>110738100</v>
      </c>
      <c r="AC61" s="242">
        <v>223.28</v>
      </c>
      <c r="AD61" s="2">
        <f t="shared" si="0"/>
        <v>3.289999999999992</v>
      </c>
      <c r="AE61" s="137">
        <f t="shared" si="1"/>
        <v>1.3067150635208691E-2</v>
      </c>
    </row>
    <row r="62" spans="1:31" x14ac:dyDescent="0.25">
      <c r="W62" s="93">
        <v>42710</v>
      </c>
      <c r="X62" s="362">
        <v>221.22</v>
      </c>
      <c r="Y62" s="40">
        <v>221.74</v>
      </c>
      <c r="Z62" s="40">
        <v>220.66</v>
      </c>
      <c r="AA62" s="362">
        <v>221.7</v>
      </c>
      <c r="AB62" s="94">
        <v>59877400</v>
      </c>
      <c r="AC62" s="242">
        <v>220.4</v>
      </c>
      <c r="AD62" s="2">
        <f t="shared" si="0"/>
        <v>1.0800000000000125</v>
      </c>
      <c r="AE62" s="137">
        <f t="shared" si="1"/>
        <v>3.1405033908333824E-3</v>
      </c>
    </row>
    <row r="63" spans="1:31" x14ac:dyDescent="0.25">
      <c r="W63" s="93">
        <v>42709</v>
      </c>
      <c r="X63" s="362">
        <v>220.65</v>
      </c>
      <c r="Y63" s="40">
        <v>221.4</v>
      </c>
      <c r="Z63" s="40">
        <v>220.42</v>
      </c>
      <c r="AA63" s="362">
        <v>221</v>
      </c>
      <c r="AB63" s="94">
        <v>67837800</v>
      </c>
      <c r="AC63" s="242">
        <v>219.71</v>
      </c>
      <c r="AD63" s="2">
        <f t="shared" si="0"/>
        <v>0.98000000000001819</v>
      </c>
      <c r="AE63" s="137">
        <f t="shared" si="1"/>
        <v>6.044232794542026E-3</v>
      </c>
    </row>
    <row r="64" spans="1:31" x14ac:dyDescent="0.25">
      <c r="W64" s="93">
        <v>42706</v>
      </c>
      <c r="X64" s="362">
        <v>219.67</v>
      </c>
      <c r="Y64" s="40">
        <v>220.25</v>
      </c>
      <c r="Z64" s="40">
        <v>219.26</v>
      </c>
      <c r="AA64" s="362">
        <v>219.68</v>
      </c>
      <c r="AB64" s="94">
        <v>74840300</v>
      </c>
      <c r="AC64" s="242">
        <v>218.39</v>
      </c>
      <c r="AD64" s="2">
        <f t="shared" si="0"/>
        <v>0.99000000000000909</v>
      </c>
      <c r="AE64" s="137">
        <f t="shared" si="1"/>
        <v>5.0393989371433356E-4</v>
      </c>
    </row>
    <row r="65" spans="23:31" x14ac:dyDescent="0.25">
      <c r="W65" s="93">
        <v>42705</v>
      </c>
      <c r="X65" s="362">
        <v>220.73</v>
      </c>
      <c r="Y65" s="40">
        <v>220.73</v>
      </c>
      <c r="Z65" s="40">
        <v>219.15</v>
      </c>
      <c r="AA65" s="362">
        <v>219.57</v>
      </c>
      <c r="AB65" s="94">
        <v>79040500</v>
      </c>
      <c r="AC65" s="242">
        <v>218.28</v>
      </c>
      <c r="AD65" s="2">
        <f t="shared" si="0"/>
        <v>1.5799999999999841</v>
      </c>
      <c r="AE65" s="137">
        <f t="shared" si="1"/>
        <v>-3.6971107763932309E-3</v>
      </c>
    </row>
    <row r="66" spans="23:31" x14ac:dyDescent="0.25">
      <c r="W66" s="93">
        <v>42704</v>
      </c>
      <c r="X66" s="362">
        <v>221.63</v>
      </c>
      <c r="Y66" s="40">
        <v>221.82</v>
      </c>
      <c r="Z66" s="40">
        <v>220.31</v>
      </c>
      <c r="AA66" s="362">
        <v>220.38</v>
      </c>
      <c r="AB66" s="94">
        <v>113291800</v>
      </c>
      <c r="AC66" s="242">
        <v>219.09</v>
      </c>
      <c r="AD66" s="2">
        <f t="shared" si="0"/>
        <v>1.5099999999999909</v>
      </c>
      <c r="AE66" s="137">
        <f t="shared" si="1"/>
        <v>-2.4132592660048857E-3</v>
      </c>
    </row>
    <row r="67" spans="23:31" x14ac:dyDescent="0.25">
      <c r="W67" s="93">
        <v>42703</v>
      </c>
      <c r="X67" s="362">
        <v>220.52</v>
      </c>
      <c r="Y67" s="40">
        <v>221.44</v>
      </c>
      <c r="Z67" s="40">
        <v>220.17</v>
      </c>
      <c r="AA67" s="362">
        <v>220.91</v>
      </c>
      <c r="AB67" s="94">
        <v>69886700</v>
      </c>
      <c r="AC67" s="242">
        <v>219.62</v>
      </c>
      <c r="AD67" s="2">
        <f t="shared" si="0"/>
        <v>1.2700000000000102</v>
      </c>
      <c r="AE67" s="137">
        <f t="shared" si="1"/>
        <v>1.9617683288470911E-3</v>
      </c>
    </row>
    <row r="68" spans="23:31" x14ac:dyDescent="0.25">
      <c r="W68" s="93">
        <v>42702</v>
      </c>
      <c r="X68" s="10">
        <v>221.16</v>
      </c>
      <c r="Y68" s="40">
        <v>221.48</v>
      </c>
      <c r="Z68" s="40">
        <v>220.36</v>
      </c>
      <c r="AA68" s="10">
        <v>220.48</v>
      </c>
      <c r="AB68" s="94">
        <v>76572500</v>
      </c>
      <c r="AC68" s="242">
        <v>219.19</v>
      </c>
      <c r="AD68" s="2">
        <f>Y68-Z68</f>
        <v>1.1199999999999761</v>
      </c>
      <c r="AE68" s="137" t="e">
        <f>AC68/AC69-1</f>
        <v>#DIV/0!</v>
      </c>
    </row>
    <row r="69" spans="23:31" x14ac:dyDescent="0.25">
      <c r="W69" s="214" t="s">
        <v>121</v>
      </c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F25:F27">
    <cfRule type="expression" dxfId="519" priority="19">
      <formula>F25&gt;0</formula>
    </cfRule>
    <cfRule type="expression" dxfId="51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17" priority="11">
      <formula>F28&gt;0</formula>
    </cfRule>
    <cfRule type="expression" dxfId="516" priority="12">
      <formula>F28&lt;0</formula>
    </cfRule>
  </conditionalFormatting>
  <conditionalFormatting sqref="F28:F35">
    <cfRule type="expression" dxfId="515" priority="13">
      <formula>F28&gt;0</formula>
    </cfRule>
    <cfRule type="expression" dxfId="514" priority="14">
      <formula>F28&lt;0</formula>
    </cfRule>
  </conditionalFormatting>
  <conditionalFormatting sqref="H25:H35">
    <cfRule type="expression" dxfId="513" priority="9">
      <formula>H25&gt;0</formula>
    </cfRule>
    <cfRule type="expression" dxfId="512" priority="10">
      <formula>H25&lt;0</formula>
    </cfRule>
  </conditionalFormatting>
  <conditionalFormatting sqref="F21:F24">
    <cfRule type="expression" dxfId="511" priority="7">
      <formula>F21&gt;0</formula>
    </cfRule>
    <cfRule type="expression" dxfId="510" priority="8">
      <formula>F21&lt;0</formula>
    </cfRule>
  </conditionalFormatting>
  <conditionalFormatting sqref="H21:H24">
    <cfRule type="expression" dxfId="509" priority="5">
      <formula>H21&gt;0</formula>
    </cfRule>
    <cfRule type="expression" dxfId="508" priority="6">
      <formula>H21&lt;0</formula>
    </cfRule>
  </conditionalFormatting>
  <conditionalFormatting sqref="Q8">
    <cfRule type="expression" dxfId="507" priority="1">
      <formula>Q8&gt;0</formula>
    </cfRule>
    <cfRule type="expression" dxfId="506" priority="2">
      <formula>Q8&lt;0</formula>
    </cfRule>
  </conditionalFormatting>
  <conditionalFormatting sqref="Q7">
    <cfRule type="expression" dxfId="505" priority="3">
      <formula>Q7&gt;0</formula>
    </cfRule>
    <cfRule type="expression" dxfId="50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42797</v>
      </c>
      <c r="X2" s="10">
        <v>95.03</v>
      </c>
      <c r="Y2" s="40">
        <v>95.32</v>
      </c>
      <c r="Z2" s="40">
        <v>94.16</v>
      </c>
      <c r="AA2" s="10">
        <v>94.92</v>
      </c>
      <c r="AB2" s="94">
        <v>1504800</v>
      </c>
      <c r="AC2" s="242">
        <v>94.92</v>
      </c>
      <c r="AD2" s="2">
        <f>Y2-Z2</f>
        <v>1.1599999999999966</v>
      </c>
      <c r="AE2" s="137">
        <f>AC2/AC3-1</f>
        <v>1.6884761502742318E-3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98.18</v>
      </c>
      <c r="T3" s="120"/>
      <c r="W3" s="93">
        <v>42796</v>
      </c>
      <c r="X3" s="10">
        <v>96.98</v>
      </c>
      <c r="Y3" s="40">
        <v>97.57</v>
      </c>
      <c r="Z3" s="40">
        <v>94.71</v>
      </c>
      <c r="AA3" s="10">
        <v>94.76</v>
      </c>
      <c r="AB3" s="94">
        <v>2347100</v>
      </c>
      <c r="AC3" s="242">
        <v>94.76</v>
      </c>
      <c r="AD3" s="2">
        <f>Y3-Z3</f>
        <v>2.8599999999999994</v>
      </c>
      <c r="AE3" s="137">
        <f>AC3/AC4-1</f>
        <v>-2.0467231755220028E-2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98.18</v>
      </c>
      <c r="R4" s="499">
        <v>1.0699999999999999E-2</v>
      </c>
      <c r="T4" s="120"/>
      <c r="W4" s="93">
        <v>42795</v>
      </c>
      <c r="X4" s="10">
        <v>95.97</v>
      </c>
      <c r="Y4" s="40">
        <v>97.15</v>
      </c>
      <c r="Z4" s="40">
        <v>94.37</v>
      </c>
      <c r="AA4" s="10">
        <v>96.74</v>
      </c>
      <c r="AB4" s="94">
        <v>2312500</v>
      </c>
      <c r="AC4" s="242">
        <v>96.74</v>
      </c>
      <c r="AD4" s="2">
        <f t="shared" ref="AD4:AD67" si="0">Y4-Z4</f>
        <v>2.7800000000000011</v>
      </c>
      <c r="AE4" s="137">
        <f t="shared" ref="AE4:AE66" si="1">AC4/AC5-1</f>
        <v>2.0356502478641403E-2</v>
      </c>
      <c r="AK4" s="233"/>
      <c r="AN4" s="233"/>
    </row>
    <row r="5" spans="1:40" x14ac:dyDescent="0.25">
      <c r="B5" s="73"/>
      <c r="C5" s="17"/>
      <c r="D5" s="74"/>
      <c r="E5" s="74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W5" s="93">
        <v>42794</v>
      </c>
      <c r="X5" s="10">
        <v>95.61</v>
      </c>
      <c r="Y5" s="40">
        <v>95.85</v>
      </c>
      <c r="Z5" s="40">
        <v>94</v>
      </c>
      <c r="AA5" s="10">
        <v>94.81</v>
      </c>
      <c r="AB5" s="94">
        <v>1719500</v>
      </c>
      <c r="AC5" s="242">
        <v>94.81</v>
      </c>
      <c r="AD5" s="2">
        <f t="shared" si="0"/>
        <v>1.8499999999999943</v>
      </c>
      <c r="AE5" s="137">
        <f t="shared" si="1"/>
        <v>-8.5747150475791178E-3</v>
      </c>
      <c r="AK5" s="233"/>
      <c r="AN5" s="233"/>
    </row>
    <row r="6" spans="1:40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93">
        <v>42793</v>
      </c>
      <c r="X6" s="10">
        <v>94.54</v>
      </c>
      <c r="Y6" s="40">
        <v>95.68</v>
      </c>
      <c r="Z6" s="40">
        <v>93.85</v>
      </c>
      <c r="AA6" s="10">
        <v>95.63</v>
      </c>
      <c r="AB6" s="94">
        <v>1243000</v>
      </c>
      <c r="AC6" s="242">
        <v>95.63</v>
      </c>
      <c r="AD6" s="2">
        <f t="shared" si="0"/>
        <v>1.8300000000000125</v>
      </c>
      <c r="AE6" s="137">
        <f t="shared" si="1"/>
        <v>9.8204857444561533E-3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P7"/>
      <c r="Q7" s="2">
        <f>Q10+Q8</f>
        <v>1368.8999999999978</v>
      </c>
      <c r="R7">
        <v>0</v>
      </c>
      <c r="T7" s="84"/>
      <c r="W7" s="93">
        <v>42790</v>
      </c>
      <c r="X7" s="10">
        <v>94.24</v>
      </c>
      <c r="Y7" s="40">
        <v>95</v>
      </c>
      <c r="Z7" s="40">
        <v>93.02</v>
      </c>
      <c r="AA7" s="10">
        <v>94.7</v>
      </c>
      <c r="AB7" s="94">
        <v>1445600</v>
      </c>
      <c r="AC7" s="242">
        <v>94.7</v>
      </c>
      <c r="AD7" s="2">
        <f t="shared" si="0"/>
        <v>1.980000000000004</v>
      </c>
      <c r="AE7" s="137">
        <f t="shared" si="1"/>
        <v>-6.4001678732557021E-3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42789</v>
      </c>
      <c r="X8" s="10">
        <v>96.86</v>
      </c>
      <c r="Y8" s="40">
        <v>96.94</v>
      </c>
      <c r="Z8" s="40">
        <v>94.3</v>
      </c>
      <c r="AA8" s="10">
        <v>95.31</v>
      </c>
      <c r="AB8" s="94">
        <v>1639300</v>
      </c>
      <c r="AC8" s="242">
        <v>95.31</v>
      </c>
      <c r="AD8" s="2">
        <f t="shared" si="0"/>
        <v>2.6400000000000006</v>
      </c>
      <c r="AE8" s="137">
        <f t="shared" si="1"/>
        <v>-1.4476269258608121E-2</v>
      </c>
    </row>
    <row r="9" spans="1:40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P9"/>
      <c r="Q9" s="137">
        <f>IF(Q2=0, 0, Q8/Q6)</f>
        <v>0</v>
      </c>
      <c r="W9" s="93">
        <v>42788</v>
      </c>
      <c r="X9" s="10">
        <v>96.49</v>
      </c>
      <c r="Y9" s="40">
        <v>97.17</v>
      </c>
      <c r="Z9" s="40">
        <v>96.04</v>
      </c>
      <c r="AA9" s="10">
        <v>96.71</v>
      </c>
      <c r="AB9" s="94">
        <v>1397100</v>
      </c>
      <c r="AC9" s="242">
        <v>96.71</v>
      </c>
      <c r="AD9" s="2">
        <f t="shared" si="0"/>
        <v>1.1299999999999955</v>
      </c>
      <c r="AE9" s="137">
        <f t="shared" si="1"/>
        <v>1.4497255876566584E-3</v>
      </c>
      <c r="AK9" s="233"/>
      <c r="AN9" s="233"/>
    </row>
    <row r="10" spans="1:40" ht="12.75" customHeight="1" x14ac:dyDescent="0.25">
      <c r="H10" s="71"/>
      <c r="O10" s="11" t="s">
        <v>212</v>
      </c>
      <c r="Q10" s="2">
        <f>M48+M61</f>
        <v>1368.8999999999978</v>
      </c>
      <c r="W10" s="93">
        <v>42787</v>
      </c>
      <c r="X10" s="10">
        <v>96.63</v>
      </c>
      <c r="Y10" s="40">
        <v>97.51</v>
      </c>
      <c r="Z10" s="40">
        <v>95.7</v>
      </c>
      <c r="AA10" s="10">
        <v>96.57</v>
      </c>
      <c r="AB10" s="94">
        <v>2553500</v>
      </c>
      <c r="AC10" s="242">
        <v>96.57</v>
      </c>
      <c r="AD10" s="2">
        <f t="shared" si="0"/>
        <v>1.8100000000000023</v>
      </c>
      <c r="AE10" s="137">
        <f t="shared" si="1"/>
        <v>2.2833419823560241E-3</v>
      </c>
    </row>
    <row r="11" spans="1:40" x14ac:dyDescent="0.25">
      <c r="H11" s="71"/>
      <c r="O11" s="11" t="s">
        <v>178</v>
      </c>
      <c r="Q11" s="137">
        <f>VALUE(TRIM(CLEAN(MID(U55, FIND("(", U55)+1, 5))))</f>
        <v>1.18E-2</v>
      </c>
      <c r="W11" s="93">
        <v>42783</v>
      </c>
      <c r="X11" s="10">
        <v>92.24</v>
      </c>
      <c r="Y11" s="40">
        <v>96.67</v>
      </c>
      <c r="Z11" s="40">
        <v>91.92</v>
      </c>
      <c r="AA11" s="10">
        <v>96.35</v>
      </c>
      <c r="AB11" s="94">
        <v>5405100</v>
      </c>
      <c r="AC11" s="242">
        <v>96.35</v>
      </c>
      <c r="AD11" s="2">
        <f t="shared" si="0"/>
        <v>4.75</v>
      </c>
      <c r="AE11" s="137">
        <f t="shared" si="1"/>
        <v>4.2410472790219478E-2</v>
      </c>
      <c r="AK11" s="233"/>
      <c r="AN11" s="233"/>
    </row>
    <row r="12" spans="1:40" x14ac:dyDescent="0.25">
      <c r="H12" s="71"/>
      <c r="W12" s="93">
        <v>42782</v>
      </c>
      <c r="X12" s="10">
        <v>92.34</v>
      </c>
      <c r="Y12" s="40">
        <v>92.56</v>
      </c>
      <c r="Z12" s="40">
        <v>91.6</v>
      </c>
      <c r="AA12" s="10">
        <v>92.43</v>
      </c>
      <c r="AB12" s="94">
        <v>1287000</v>
      </c>
      <c r="AC12" s="242">
        <v>92.43</v>
      </c>
      <c r="AD12" s="2">
        <f t="shared" si="0"/>
        <v>0.96000000000000796</v>
      </c>
      <c r="AE12" s="137">
        <f t="shared" si="1"/>
        <v>3.2562683165093809E-3</v>
      </c>
    </row>
    <row r="13" spans="1:40" x14ac:dyDescent="0.25">
      <c r="H13" s="71"/>
      <c r="W13" s="93">
        <v>42781</v>
      </c>
      <c r="X13" s="10">
        <v>92.02</v>
      </c>
      <c r="Y13" s="40">
        <v>92.61</v>
      </c>
      <c r="Z13" s="40">
        <v>91.25</v>
      </c>
      <c r="AA13" s="10">
        <v>92.13</v>
      </c>
      <c r="AB13" s="94">
        <v>1559300</v>
      </c>
      <c r="AC13" s="242">
        <v>92.13</v>
      </c>
      <c r="AD13" s="2">
        <f t="shared" si="0"/>
        <v>1.3599999999999994</v>
      </c>
      <c r="AE13" s="137">
        <f t="shared" si="1"/>
        <v>3.5947712418300526E-3</v>
      </c>
      <c r="AK13" s="233"/>
      <c r="AN13" s="233"/>
    </row>
    <row r="14" spans="1:40" x14ac:dyDescent="0.25">
      <c r="H14" s="71"/>
      <c r="T14" s="83"/>
      <c r="U14" s="11"/>
      <c r="W14" s="93">
        <v>42780</v>
      </c>
      <c r="X14" s="10">
        <v>92.32</v>
      </c>
      <c r="Y14" s="40">
        <v>92.48</v>
      </c>
      <c r="Z14" s="40">
        <v>90.53</v>
      </c>
      <c r="AA14" s="10">
        <v>91.8</v>
      </c>
      <c r="AB14" s="94">
        <v>1610400</v>
      </c>
      <c r="AC14" s="242">
        <v>91.8</v>
      </c>
      <c r="AD14" s="2">
        <f t="shared" si="0"/>
        <v>1.9500000000000028</v>
      </c>
      <c r="AE14" s="137">
        <f t="shared" si="1"/>
        <v>-8.9603800064773642E-3</v>
      </c>
    </row>
    <row r="15" spans="1:40" x14ac:dyDescent="0.25">
      <c r="H15" s="71"/>
      <c r="W15" s="93">
        <v>42779</v>
      </c>
      <c r="X15" s="10">
        <v>92.69</v>
      </c>
      <c r="Y15" s="40">
        <v>93.3</v>
      </c>
      <c r="Z15" s="40">
        <v>92.27</v>
      </c>
      <c r="AA15" s="10">
        <v>92.63</v>
      </c>
      <c r="AB15" s="94">
        <v>1290100</v>
      </c>
      <c r="AC15" s="242">
        <v>92.63</v>
      </c>
      <c r="AD15" s="2">
        <f t="shared" si="0"/>
        <v>1.0300000000000011</v>
      </c>
      <c r="AE15" s="137">
        <f t="shared" si="1"/>
        <v>4.5548205183820745E-3</v>
      </c>
      <c r="AK15" s="233"/>
      <c r="AN15" s="233"/>
    </row>
    <row r="16" spans="1:40" x14ac:dyDescent="0.25">
      <c r="H16" s="71"/>
      <c r="W16" s="93">
        <v>42776</v>
      </c>
      <c r="X16" s="10">
        <v>92.73</v>
      </c>
      <c r="Y16" s="40">
        <v>92.75</v>
      </c>
      <c r="Z16" s="40">
        <v>91.41</v>
      </c>
      <c r="AA16" s="10">
        <v>92.21</v>
      </c>
      <c r="AB16" s="94">
        <v>1947300</v>
      </c>
      <c r="AC16" s="242">
        <v>92.21</v>
      </c>
      <c r="AD16" s="2">
        <f t="shared" si="0"/>
        <v>1.3400000000000034</v>
      </c>
      <c r="AE16" s="137">
        <f t="shared" si="1"/>
        <v>-2.8117227208824813E-3</v>
      </c>
    </row>
    <row r="17" spans="1:40" x14ac:dyDescent="0.25">
      <c r="H17" s="71"/>
      <c r="W17" s="93">
        <v>42775</v>
      </c>
      <c r="X17" s="10">
        <v>92.07</v>
      </c>
      <c r="Y17" s="40">
        <v>93.13</v>
      </c>
      <c r="Z17" s="40">
        <v>91.24</v>
      </c>
      <c r="AA17" s="10">
        <v>92.47</v>
      </c>
      <c r="AB17" s="94">
        <v>2753400</v>
      </c>
      <c r="AC17" s="242">
        <v>92.47</v>
      </c>
      <c r="AD17" s="2">
        <f t="shared" si="0"/>
        <v>1.8900000000000006</v>
      </c>
      <c r="AE17" s="137">
        <f t="shared" si="1"/>
        <v>8.5069255098702001E-3</v>
      </c>
      <c r="AK17" s="233"/>
      <c r="AN17" s="233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42774</v>
      </c>
      <c r="X18" s="10">
        <v>91.61</v>
      </c>
      <c r="Y18" s="40">
        <v>92.34</v>
      </c>
      <c r="Z18" s="40">
        <v>90.94</v>
      </c>
      <c r="AA18" s="10">
        <v>91.69</v>
      </c>
      <c r="AB18" s="94">
        <v>1861700</v>
      </c>
      <c r="AC18" s="242">
        <v>91.69</v>
      </c>
      <c r="AD18" s="2">
        <f t="shared" si="0"/>
        <v>1.4000000000000057</v>
      </c>
      <c r="AE18" s="137">
        <f t="shared" si="1"/>
        <v>-9.8060579646985779E-4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42773</v>
      </c>
      <c r="X19" s="10">
        <v>91.4</v>
      </c>
      <c r="Y19" s="40">
        <v>92.2</v>
      </c>
      <c r="Z19" s="40">
        <v>91.17</v>
      </c>
      <c r="AA19" s="10">
        <v>91.78</v>
      </c>
      <c r="AB19" s="94">
        <v>1305600</v>
      </c>
      <c r="AC19" s="242">
        <v>91.78</v>
      </c>
      <c r="AD19" s="2">
        <f t="shared" si="0"/>
        <v>1.0300000000000011</v>
      </c>
      <c r="AE19" s="137">
        <f t="shared" si="1"/>
        <v>4.2674253200569723E-3</v>
      </c>
      <c r="AK19" s="233"/>
      <c r="AN19" s="233"/>
    </row>
    <row r="20" spans="1:40" x14ac:dyDescent="0.25">
      <c r="W20" s="93">
        <v>42772</v>
      </c>
      <c r="X20" s="10">
        <v>91.45</v>
      </c>
      <c r="Y20" s="40">
        <v>91.58</v>
      </c>
      <c r="Z20" s="40">
        <v>90.71</v>
      </c>
      <c r="AA20" s="10">
        <v>91.39</v>
      </c>
      <c r="AB20" s="94">
        <v>1458800</v>
      </c>
      <c r="AC20" s="242">
        <v>91.39</v>
      </c>
      <c r="AD20" s="2">
        <f t="shared" si="0"/>
        <v>0.87000000000000455</v>
      </c>
      <c r="AE20" s="137">
        <f t="shared" si="1"/>
        <v>-1.8567059851464229E-3</v>
      </c>
    </row>
    <row r="21" spans="1:40" x14ac:dyDescent="0.25">
      <c r="W21" s="93">
        <v>42769</v>
      </c>
      <c r="X21" s="10">
        <v>91.32</v>
      </c>
      <c r="Y21" s="40">
        <v>91.91</v>
      </c>
      <c r="Z21" s="40">
        <v>90.88</v>
      </c>
      <c r="AA21" s="10">
        <v>91.56</v>
      </c>
      <c r="AB21" s="94">
        <v>1272500</v>
      </c>
      <c r="AC21" s="242">
        <v>91.56</v>
      </c>
      <c r="AD21" s="2">
        <f t="shared" si="0"/>
        <v>1.0300000000000011</v>
      </c>
      <c r="AE21" s="137">
        <f t="shared" si="1"/>
        <v>4.9390846229833141E-3</v>
      </c>
      <c r="AK21" s="233"/>
      <c r="AN21" s="233"/>
    </row>
    <row r="22" spans="1:40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3">
        <v>42768</v>
      </c>
      <c r="X22" s="10">
        <v>90.8</v>
      </c>
      <c r="Y22" s="40">
        <v>91.54</v>
      </c>
      <c r="Z22" s="40">
        <v>90.06</v>
      </c>
      <c r="AA22" s="10">
        <v>91.11</v>
      </c>
      <c r="AB22" s="94">
        <v>2524600</v>
      </c>
      <c r="AC22" s="242">
        <v>91.11</v>
      </c>
      <c r="AD22" s="2">
        <f t="shared" si="0"/>
        <v>1.480000000000004</v>
      </c>
      <c r="AE22" s="137">
        <f t="shared" si="1"/>
        <v>-6.8672334859384287E-3</v>
      </c>
    </row>
    <row r="23" spans="1:40" x14ac:dyDescent="0.25">
      <c r="B23" s="192">
        <v>42546</v>
      </c>
      <c r="C23" s="441">
        <v>60</v>
      </c>
      <c r="D23" s="442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30">
        <f t="shared" ref="H23:H42" si="4">(E23-D23)/D23</f>
        <v>-2.7005685407454214E-2</v>
      </c>
      <c r="I23" s="40"/>
      <c r="W23" s="93">
        <v>42767</v>
      </c>
      <c r="X23" s="10">
        <v>93.54</v>
      </c>
      <c r="Y23" s="40">
        <v>94.49</v>
      </c>
      <c r="Z23" s="40">
        <v>91.31</v>
      </c>
      <c r="AA23" s="10">
        <v>91.74</v>
      </c>
      <c r="AB23" s="94">
        <v>3804800</v>
      </c>
      <c r="AC23" s="242">
        <v>91.74</v>
      </c>
      <c r="AD23" s="2">
        <f t="shared" si="0"/>
        <v>3.1799999999999926</v>
      </c>
      <c r="AE23" s="137">
        <f t="shared" si="1"/>
        <v>0</v>
      </c>
      <c r="AK23" s="233"/>
    </row>
    <row r="24" spans="1:40" x14ac:dyDescent="0.25">
      <c r="B24" s="192">
        <v>42548</v>
      </c>
      <c r="C24" s="281">
        <v>60</v>
      </c>
      <c r="D24" s="337">
        <v>60.935000000000002</v>
      </c>
      <c r="E24" s="337">
        <v>58.01</v>
      </c>
      <c r="F24" s="40">
        <f t="shared" si="2"/>
        <v>-175.50000000000026</v>
      </c>
      <c r="G24" s="40">
        <f t="shared" si="3"/>
        <v>3656.1000000000004</v>
      </c>
      <c r="H24" s="230">
        <f t="shared" si="4"/>
        <v>-4.8001969311561567E-2</v>
      </c>
      <c r="I24" s="40"/>
      <c r="W24" s="93">
        <v>42766</v>
      </c>
      <c r="X24" s="10">
        <v>92.32</v>
      </c>
      <c r="Y24" s="40">
        <v>92.48</v>
      </c>
      <c r="Z24" s="40">
        <v>90.28</v>
      </c>
      <c r="AA24" s="10">
        <v>91.74</v>
      </c>
      <c r="AB24" s="94">
        <v>2486500</v>
      </c>
      <c r="AC24" s="242">
        <v>91.74</v>
      </c>
      <c r="AD24" s="2">
        <f t="shared" si="0"/>
        <v>2.2000000000000028</v>
      </c>
      <c r="AE24" s="137" t="e">
        <f t="shared" si="1"/>
        <v>#DIV/0!</v>
      </c>
    </row>
    <row r="25" spans="1:40" x14ac:dyDescent="0.25">
      <c r="B25" s="192">
        <v>42549</v>
      </c>
      <c r="C25" s="452">
        <v>120</v>
      </c>
      <c r="D25" s="458">
        <v>60.935000000000002</v>
      </c>
      <c r="E25" s="337">
        <v>60.26</v>
      </c>
      <c r="F25" s="40">
        <f t="shared" si="2"/>
        <v>-81.000000000000512</v>
      </c>
      <c r="G25" s="40">
        <f t="shared" si="3"/>
        <v>7312.2000000000007</v>
      </c>
      <c r="H25" s="230">
        <f t="shared" si="4"/>
        <v>-1.1077377533437339E-2</v>
      </c>
      <c r="I25" s="40"/>
      <c r="W25" s="93">
        <v>42766</v>
      </c>
      <c r="X25" s="10" t="s">
        <v>333</v>
      </c>
      <c r="Y25" s="40"/>
      <c r="Z25" s="40"/>
      <c r="AA25" s="10"/>
      <c r="AB25" s="94"/>
      <c r="AC25" s="242"/>
      <c r="AD25" s="2">
        <f t="shared" si="0"/>
        <v>0</v>
      </c>
      <c r="AE25" s="137">
        <f t="shared" si="1"/>
        <v>-1</v>
      </c>
    </row>
    <row r="26" spans="1:40" x14ac:dyDescent="0.25">
      <c r="B26" s="192">
        <v>42550</v>
      </c>
      <c r="C26" s="281">
        <v>120</v>
      </c>
      <c r="D26" s="337">
        <v>60.935000000000002</v>
      </c>
      <c r="E26" s="337">
        <v>61.73</v>
      </c>
      <c r="F26" s="40">
        <f t="shared" si="2"/>
        <v>95.399999999999352</v>
      </c>
      <c r="G26" s="40">
        <f t="shared" si="3"/>
        <v>7312.2000000000007</v>
      </c>
      <c r="H26" s="230">
        <f t="shared" si="4"/>
        <v>1.304668909493714E-2</v>
      </c>
      <c r="I26" s="40"/>
      <c r="W26" s="93">
        <v>42765</v>
      </c>
      <c r="X26" s="10">
        <v>91.43</v>
      </c>
      <c r="Y26" s="40">
        <v>93.08</v>
      </c>
      <c r="Z26" s="40">
        <v>90.22</v>
      </c>
      <c r="AA26" s="10">
        <v>92.99</v>
      </c>
      <c r="AB26" s="94">
        <v>2482200</v>
      </c>
      <c r="AC26" s="242">
        <v>92.71</v>
      </c>
      <c r="AD26" s="2">
        <f t="shared" si="0"/>
        <v>2.8599999999999994</v>
      </c>
      <c r="AE26" s="137">
        <f t="shared" si="1"/>
        <v>1.0683527744467236E-2</v>
      </c>
    </row>
    <row r="27" spans="1:40" x14ac:dyDescent="0.25">
      <c r="B27" s="192">
        <v>42551</v>
      </c>
      <c r="C27" s="437">
        <v>60</v>
      </c>
      <c r="D27" s="447">
        <v>59.007199999999997</v>
      </c>
      <c r="E27" s="337">
        <v>63.28</v>
      </c>
      <c r="F27" s="40">
        <f t="shared" si="2"/>
        <v>256.36800000000022</v>
      </c>
      <c r="G27" s="40">
        <f t="shared" si="3"/>
        <v>3540.4319999999998</v>
      </c>
      <c r="H27" s="230">
        <f t="shared" si="4"/>
        <v>7.2411502325140042E-2</v>
      </c>
      <c r="I27" s="40"/>
      <c r="W27" s="93">
        <v>42762</v>
      </c>
      <c r="X27" s="10">
        <v>91.55</v>
      </c>
      <c r="Y27" s="40">
        <v>92.44</v>
      </c>
      <c r="Z27" s="40">
        <v>91.25</v>
      </c>
      <c r="AA27" s="10">
        <v>92.01</v>
      </c>
      <c r="AB27" s="94">
        <v>1705900</v>
      </c>
      <c r="AC27" s="242">
        <v>91.73</v>
      </c>
      <c r="AD27" s="2">
        <f t="shared" si="0"/>
        <v>1.1899999999999977</v>
      </c>
      <c r="AE27" s="137">
        <f t="shared" si="1"/>
        <v>1.0910293145250272E-2</v>
      </c>
    </row>
    <row r="28" spans="1:40" x14ac:dyDescent="0.25">
      <c r="B28" s="192">
        <v>42552</v>
      </c>
      <c r="C28" s="281">
        <v>60</v>
      </c>
      <c r="D28" s="337">
        <v>59.007199999999997</v>
      </c>
      <c r="E28" s="337">
        <v>62.6</v>
      </c>
      <c r="F28" s="40">
        <f t="shared" si="2"/>
        <v>215.56800000000024</v>
      </c>
      <c r="G28" s="40">
        <f t="shared" si="3"/>
        <v>3540.4319999999998</v>
      </c>
      <c r="H28" s="230">
        <f t="shared" si="4"/>
        <v>6.0887484917094933E-2</v>
      </c>
      <c r="I28" s="40"/>
      <c r="W28" s="93">
        <v>42761</v>
      </c>
      <c r="X28" s="10">
        <v>92</v>
      </c>
      <c r="Y28" s="40">
        <v>92.64</v>
      </c>
      <c r="Z28" s="40">
        <v>90.94</v>
      </c>
      <c r="AA28" s="10">
        <v>91.01</v>
      </c>
      <c r="AB28" s="94">
        <v>2343900</v>
      </c>
      <c r="AC28" s="242">
        <v>90.74</v>
      </c>
      <c r="AD28" s="2">
        <f t="shared" si="0"/>
        <v>1.7000000000000028</v>
      </c>
      <c r="AE28" s="137">
        <f t="shared" si="1"/>
        <v>-9.280489136368697E-3</v>
      </c>
    </row>
    <row r="29" spans="1:40" x14ac:dyDescent="0.25">
      <c r="B29" s="192">
        <v>42556</v>
      </c>
      <c r="C29" s="281">
        <v>60</v>
      </c>
      <c r="D29" s="337">
        <v>59.007199999999997</v>
      </c>
      <c r="E29" s="337">
        <v>58.82</v>
      </c>
      <c r="F29" s="40">
        <f t="shared" si="2"/>
        <v>-11.231999999999829</v>
      </c>
      <c r="G29" s="40">
        <f t="shared" si="3"/>
        <v>3540.4319999999998</v>
      </c>
      <c r="H29" s="230">
        <f t="shared" si="4"/>
        <v>-3.1724942040970787E-3</v>
      </c>
      <c r="I29" s="40"/>
      <c r="W29" s="93">
        <v>42760</v>
      </c>
      <c r="X29" s="10">
        <v>93</v>
      </c>
      <c r="Y29" s="40">
        <v>93.78</v>
      </c>
      <c r="Z29" s="40">
        <v>91.32</v>
      </c>
      <c r="AA29" s="10">
        <v>91.87</v>
      </c>
      <c r="AB29" s="94">
        <v>3220300</v>
      </c>
      <c r="AC29" s="242">
        <v>91.59</v>
      </c>
      <c r="AD29" s="2">
        <f t="shared" si="0"/>
        <v>2.460000000000008</v>
      </c>
      <c r="AE29" s="137">
        <f t="shared" si="1"/>
        <v>-4.3482987281224794E-3</v>
      </c>
    </row>
    <row r="30" spans="1:40" x14ac:dyDescent="0.25">
      <c r="B30" s="192">
        <v>42557</v>
      </c>
      <c r="C30" s="423">
        <v>90</v>
      </c>
      <c r="D30" s="46">
        <v>58.531399999999998</v>
      </c>
      <c r="E30" s="337">
        <v>59.16</v>
      </c>
      <c r="F30" s="40">
        <f t="shared" si="2"/>
        <v>56.573999999999884</v>
      </c>
      <c r="G30" s="40">
        <f t="shared" si="3"/>
        <v>5267.826</v>
      </c>
      <c r="H30" s="230">
        <f t="shared" si="4"/>
        <v>1.0739534677113459E-2</v>
      </c>
      <c r="I30" s="40"/>
      <c r="W30" s="93">
        <v>42759</v>
      </c>
      <c r="X30" s="10">
        <v>90.31</v>
      </c>
      <c r="Y30" s="40">
        <v>92.74</v>
      </c>
      <c r="Z30" s="40">
        <v>90.31</v>
      </c>
      <c r="AA30" s="10">
        <v>92.27</v>
      </c>
      <c r="AB30" s="94">
        <v>4553300</v>
      </c>
      <c r="AC30" s="242">
        <v>91.99</v>
      </c>
      <c r="AD30" s="2">
        <f t="shared" si="0"/>
        <v>2.4299999999999926</v>
      </c>
      <c r="AE30" s="137">
        <f t="shared" si="1"/>
        <v>2.3248053392658452E-2</v>
      </c>
    </row>
    <row r="31" spans="1:40" x14ac:dyDescent="0.25">
      <c r="B31" s="192">
        <v>42562</v>
      </c>
      <c r="C31" s="281">
        <v>90</v>
      </c>
      <c r="D31" s="337">
        <v>58.531399999999998</v>
      </c>
      <c r="E31" s="337">
        <v>64.64</v>
      </c>
      <c r="F31" s="40">
        <f t="shared" si="2"/>
        <v>549.77400000000023</v>
      </c>
      <c r="G31" s="40">
        <f t="shared" si="3"/>
        <v>5267.826</v>
      </c>
      <c r="H31" s="230">
        <f t="shared" si="4"/>
        <v>0.1043644949548448</v>
      </c>
      <c r="I31" s="40"/>
      <c r="W31" s="93">
        <v>42758</v>
      </c>
      <c r="X31" s="10">
        <v>88.87</v>
      </c>
      <c r="Y31" s="40">
        <v>91.07</v>
      </c>
      <c r="Z31" s="40">
        <v>87.72</v>
      </c>
      <c r="AA31" s="10">
        <v>90.17</v>
      </c>
      <c r="AB31" s="94">
        <v>6523200</v>
      </c>
      <c r="AC31" s="242">
        <v>89.9</v>
      </c>
      <c r="AD31" s="2">
        <f t="shared" si="0"/>
        <v>3.3499999999999943</v>
      </c>
      <c r="AE31" s="137">
        <f t="shared" si="1"/>
        <v>1.6968325791855143E-2</v>
      </c>
    </row>
    <row r="32" spans="1:40" x14ac:dyDescent="0.25">
      <c r="B32" s="192">
        <v>42563</v>
      </c>
      <c r="C32" s="281">
        <v>90</v>
      </c>
      <c r="D32" s="337">
        <v>58.531399999999998</v>
      </c>
      <c r="E32" s="337">
        <v>65.8</v>
      </c>
      <c r="F32" s="40">
        <f t="shared" si="2"/>
        <v>654.17399999999998</v>
      </c>
      <c r="G32" s="40">
        <f t="shared" si="3"/>
        <v>5267.826</v>
      </c>
      <c r="H32" s="230">
        <f t="shared" si="4"/>
        <v>0.12418291720341559</v>
      </c>
      <c r="I32" s="40"/>
      <c r="W32" s="93">
        <v>42755</v>
      </c>
      <c r="X32" s="10">
        <v>85</v>
      </c>
      <c r="Y32" s="40">
        <v>88.9</v>
      </c>
      <c r="Z32" s="40">
        <v>84.69</v>
      </c>
      <c r="AA32" s="10">
        <v>88.67</v>
      </c>
      <c r="AB32" s="94">
        <v>15776700</v>
      </c>
      <c r="AC32" s="242">
        <v>88.4</v>
      </c>
      <c r="AD32" s="2">
        <f t="shared" si="0"/>
        <v>4.210000000000008</v>
      </c>
      <c r="AE32" s="137">
        <f t="shared" si="1"/>
        <v>0.13014574277678359</v>
      </c>
    </row>
    <row r="33" spans="1:31" x14ac:dyDescent="0.25">
      <c r="B33" s="192">
        <v>42569</v>
      </c>
      <c r="C33" s="281">
        <v>90</v>
      </c>
      <c r="D33" s="337">
        <v>58.531399999999998</v>
      </c>
      <c r="E33" s="337">
        <v>68.7</v>
      </c>
      <c r="F33" s="40">
        <f t="shared" si="2"/>
        <v>915.17400000000043</v>
      </c>
      <c r="G33" s="40">
        <f t="shared" si="3"/>
        <v>5267.826</v>
      </c>
      <c r="H33" s="230">
        <f t="shared" si="4"/>
        <v>0.17372897282484281</v>
      </c>
      <c r="I33" s="40"/>
      <c r="W33" s="93">
        <v>42754</v>
      </c>
      <c r="X33" s="10">
        <v>78.87</v>
      </c>
      <c r="Y33" s="40">
        <v>79.45</v>
      </c>
      <c r="Z33" s="40">
        <v>78.180000000000007</v>
      </c>
      <c r="AA33" s="10">
        <v>78.459999999999994</v>
      </c>
      <c r="AB33" s="94">
        <v>4062400</v>
      </c>
      <c r="AC33" s="242">
        <v>78.22</v>
      </c>
      <c r="AD33" s="2">
        <f t="shared" si="0"/>
        <v>1.269999999999996</v>
      </c>
      <c r="AE33" s="137">
        <f t="shared" si="1"/>
        <v>-1.0249272428191847E-2</v>
      </c>
    </row>
    <row r="34" spans="1:31" x14ac:dyDescent="0.25">
      <c r="B34" s="192">
        <v>42570</v>
      </c>
      <c r="C34" s="281">
        <v>90</v>
      </c>
      <c r="D34" s="337">
        <v>58.531399999999998</v>
      </c>
      <c r="E34" s="337">
        <v>68.33</v>
      </c>
      <c r="F34" s="40">
        <f t="shared" si="2"/>
        <v>881.87400000000002</v>
      </c>
      <c r="G34" s="40">
        <f t="shared" si="3"/>
        <v>5267.826</v>
      </c>
      <c r="H34" s="230">
        <f t="shared" si="4"/>
        <v>0.1674075795214193</v>
      </c>
      <c r="I34" s="40"/>
      <c r="W34" s="93">
        <v>42753</v>
      </c>
      <c r="X34" s="10">
        <v>77.39</v>
      </c>
      <c r="Y34" s="40">
        <v>79.27</v>
      </c>
      <c r="Z34" s="40">
        <v>77.16</v>
      </c>
      <c r="AA34" s="10">
        <v>79.27</v>
      </c>
      <c r="AB34" s="94">
        <v>3106100</v>
      </c>
      <c r="AC34" s="242">
        <v>79.03</v>
      </c>
      <c r="AD34" s="2">
        <f t="shared" si="0"/>
        <v>2.1099999999999994</v>
      </c>
      <c r="AE34" s="137">
        <f t="shared" si="1"/>
        <v>3.0915731802765523E-2</v>
      </c>
    </row>
    <row r="35" spans="1:31" x14ac:dyDescent="0.25">
      <c r="B35" s="192">
        <v>42571</v>
      </c>
      <c r="C35" s="281">
        <v>90</v>
      </c>
      <c r="D35" s="337">
        <v>58.531399999999998</v>
      </c>
      <c r="E35" s="337">
        <v>69.489999999999995</v>
      </c>
      <c r="F35" s="40">
        <f t="shared" si="2"/>
        <v>986.27399999999977</v>
      </c>
      <c r="G35" s="40">
        <f t="shared" si="3"/>
        <v>5267.826</v>
      </c>
      <c r="H35" s="230">
        <f t="shared" si="4"/>
        <v>0.18722600176999007</v>
      </c>
      <c r="I35" s="40"/>
      <c r="W35" s="93">
        <v>42752</v>
      </c>
      <c r="X35" s="10">
        <v>77.64</v>
      </c>
      <c r="Y35" s="40">
        <v>78.430000000000007</v>
      </c>
      <c r="Z35" s="40">
        <v>76.489999999999995</v>
      </c>
      <c r="AA35" s="10">
        <v>76.89</v>
      </c>
      <c r="AB35" s="94">
        <v>2391300</v>
      </c>
      <c r="AC35" s="242">
        <v>76.66</v>
      </c>
      <c r="AD35" s="2">
        <f t="shared" si="0"/>
        <v>1.9400000000000119</v>
      </c>
      <c r="AE35" s="137">
        <f t="shared" si="1"/>
        <v>-1.8312203867332677E-2</v>
      </c>
    </row>
    <row r="36" spans="1:31" ht="20.25" thickBot="1" x14ac:dyDescent="0.35">
      <c r="B36" s="192">
        <v>42572</v>
      </c>
      <c r="C36" s="281">
        <v>90</v>
      </c>
      <c r="D36" s="337">
        <v>58.531399999999998</v>
      </c>
      <c r="E36" s="337">
        <v>70.92</v>
      </c>
      <c r="F36" s="40">
        <f t="shared" si="2"/>
        <v>1114.9740000000004</v>
      </c>
      <c r="G36" s="40">
        <f t="shared" si="3"/>
        <v>5267.826</v>
      </c>
      <c r="H36" s="230">
        <f t="shared" si="4"/>
        <v>0.21165733264538358</v>
      </c>
      <c r="I36" s="40" t="s">
        <v>255</v>
      </c>
      <c r="O36" s="11"/>
      <c r="P36" s="258" t="s">
        <v>78</v>
      </c>
      <c r="Q36" s="258"/>
      <c r="R36" s="34"/>
      <c r="W36" s="93">
        <v>42748</v>
      </c>
      <c r="X36" s="10">
        <v>76.91</v>
      </c>
      <c r="Y36" s="40">
        <v>78.489999999999995</v>
      </c>
      <c r="Z36" s="40">
        <v>76.69</v>
      </c>
      <c r="AA36" s="10">
        <v>78.33</v>
      </c>
      <c r="AB36" s="94">
        <v>1963400</v>
      </c>
      <c r="AC36" s="242">
        <v>78.09</v>
      </c>
      <c r="AD36" s="2">
        <f t="shared" si="0"/>
        <v>1.7999999999999972</v>
      </c>
      <c r="AE36" s="137">
        <f t="shared" si="1"/>
        <v>2.0517511761630969E-2</v>
      </c>
    </row>
    <row r="37" spans="1:31" ht="15.75" thickTop="1" x14ac:dyDescent="0.25">
      <c r="B37" s="192">
        <v>42575</v>
      </c>
      <c r="C37" s="281">
        <v>110</v>
      </c>
      <c r="D37" s="337">
        <v>59.467500000000001</v>
      </c>
      <c r="E37" s="337">
        <v>64.81</v>
      </c>
      <c r="F37" s="40">
        <f t="shared" si="2"/>
        <v>587.67500000000018</v>
      </c>
      <c r="G37" s="40">
        <f t="shared" si="3"/>
        <v>6541.4250000000002</v>
      </c>
      <c r="H37" s="230">
        <f t="shared" si="4"/>
        <v>8.9838987682347521E-2</v>
      </c>
      <c r="I37" s="40"/>
      <c r="O37" s="2"/>
      <c r="P37" s="82">
        <v>1.1000000000000001</v>
      </c>
      <c r="Q37" s="82">
        <f>P37*$Q$4</f>
        <v>107.99800000000002</v>
      </c>
      <c r="R37" s="34"/>
      <c r="W37" s="93">
        <v>42747</v>
      </c>
      <c r="X37" s="10">
        <v>76.2</v>
      </c>
      <c r="Y37" s="40">
        <v>76.91</v>
      </c>
      <c r="Z37" s="40">
        <v>74.67</v>
      </c>
      <c r="AA37" s="10">
        <v>76.75</v>
      </c>
      <c r="AB37" s="94">
        <v>4264800</v>
      </c>
      <c r="AC37" s="242">
        <v>76.52</v>
      </c>
      <c r="AD37" s="2">
        <f t="shared" si="0"/>
        <v>2.2399999999999949</v>
      </c>
      <c r="AE37" s="137">
        <f t="shared" si="1"/>
        <v>-2.1107841883075462E-2</v>
      </c>
    </row>
    <row r="38" spans="1:31" x14ac:dyDescent="0.25">
      <c r="B38" s="192">
        <v>42577</v>
      </c>
      <c r="C38" s="281">
        <v>110</v>
      </c>
      <c r="D38" s="337">
        <v>59.467500000000001</v>
      </c>
      <c r="E38" s="337">
        <v>65.87</v>
      </c>
      <c r="F38" s="40">
        <f t="shared" si="2"/>
        <v>704.27500000000032</v>
      </c>
      <c r="G38" s="40">
        <f t="shared" si="3"/>
        <v>6541.4250000000002</v>
      </c>
      <c r="H38" s="230">
        <f t="shared" si="4"/>
        <v>0.10766385000210205</v>
      </c>
      <c r="I38" s="40" t="s">
        <v>260</v>
      </c>
      <c r="O38" s="2"/>
      <c r="P38" s="82">
        <v>1.0900000000000001</v>
      </c>
      <c r="Q38" s="82">
        <f t="shared" ref="Q38:Q57" si="5">P38*$Q$4</f>
        <v>107.01620000000001</v>
      </c>
      <c r="R38" s="34"/>
      <c r="W38" s="93">
        <v>42746</v>
      </c>
      <c r="X38" s="10">
        <v>77.33</v>
      </c>
      <c r="Y38" s="40">
        <v>78.72</v>
      </c>
      <c r="Z38" s="40">
        <v>76.510000000000005</v>
      </c>
      <c r="AA38" s="10">
        <v>78.41</v>
      </c>
      <c r="AB38" s="94">
        <v>2119900</v>
      </c>
      <c r="AC38" s="242">
        <v>78.17</v>
      </c>
      <c r="AD38" s="2">
        <f t="shared" si="0"/>
        <v>2.2099999999999937</v>
      </c>
      <c r="AE38" s="137">
        <f t="shared" si="1"/>
        <v>1.4141152049818473E-2</v>
      </c>
    </row>
    <row r="39" spans="1:31" ht="20.25" thickBot="1" x14ac:dyDescent="0.35">
      <c r="B39" s="192">
        <v>42585</v>
      </c>
      <c r="C39" s="281">
        <v>110</v>
      </c>
      <c r="D39" s="337">
        <v>59.467500000000001</v>
      </c>
      <c r="E39" s="337">
        <v>65.040000000000006</v>
      </c>
      <c r="F39" s="40">
        <f t="shared" si="2"/>
        <v>612.97500000000059</v>
      </c>
      <c r="G39" s="40">
        <f t="shared" si="3"/>
        <v>6541.4250000000002</v>
      </c>
      <c r="H39" s="230">
        <f t="shared" si="4"/>
        <v>9.370664648757733E-2</v>
      </c>
      <c r="I39" s="40"/>
      <c r="O39" s="2"/>
      <c r="P39" s="82">
        <v>1.08</v>
      </c>
      <c r="Q39" s="82">
        <f t="shared" si="5"/>
        <v>106.03440000000002</v>
      </c>
      <c r="R39" s="34"/>
      <c r="T39" s="90" t="s">
        <v>113</v>
      </c>
      <c r="W39" s="93">
        <v>42745</v>
      </c>
      <c r="X39" s="10">
        <v>75.69</v>
      </c>
      <c r="Y39" s="40">
        <v>77.52</v>
      </c>
      <c r="Z39" s="40">
        <v>75.66</v>
      </c>
      <c r="AA39" s="10">
        <v>77.31</v>
      </c>
      <c r="AB39" s="94">
        <v>1768600</v>
      </c>
      <c r="AC39" s="242">
        <v>77.08</v>
      </c>
      <c r="AD39" s="2">
        <f t="shared" si="0"/>
        <v>1.8599999999999994</v>
      </c>
      <c r="AE39" s="137">
        <f t="shared" si="1"/>
        <v>2.2010076902678311E-2</v>
      </c>
    </row>
    <row r="40" spans="1:31" ht="15.75" thickTop="1" x14ac:dyDescent="0.25">
      <c r="B40" s="192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30">
        <f t="shared" si="4"/>
        <v>0.13390444946793845</v>
      </c>
      <c r="I40" s="40"/>
      <c r="O40" s="2"/>
      <c r="P40" s="82">
        <v>1.07</v>
      </c>
      <c r="Q40" s="82">
        <f t="shared" si="5"/>
        <v>105.05260000000001</v>
      </c>
      <c r="R40" s="82"/>
      <c r="T40" s="96" t="s">
        <v>98</v>
      </c>
      <c r="U40" s="128">
        <v>94.76</v>
      </c>
      <c r="W40" s="93">
        <v>42744</v>
      </c>
      <c r="X40" s="10">
        <v>75.959999999999994</v>
      </c>
      <c r="Y40" s="40">
        <v>76.959999999999994</v>
      </c>
      <c r="Z40" s="40">
        <v>75.23</v>
      </c>
      <c r="AA40" s="10">
        <v>75.650000000000006</v>
      </c>
      <c r="AB40" s="94">
        <v>2331200</v>
      </c>
      <c r="AC40" s="242">
        <v>75.42</v>
      </c>
      <c r="AD40" s="2">
        <f t="shared" si="0"/>
        <v>1.7299999999999898</v>
      </c>
      <c r="AE40" s="137">
        <f t="shared" si="1"/>
        <v>9.233239662786108E-3</v>
      </c>
    </row>
    <row r="41" spans="1:31" x14ac:dyDescent="0.25">
      <c r="B41" s="192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30">
        <f t="shared" si="4"/>
        <v>1.6223446402294079</v>
      </c>
      <c r="I41" s="40"/>
      <c r="O41" s="2"/>
      <c r="P41" s="82">
        <v>1.06</v>
      </c>
      <c r="Q41" s="82">
        <f t="shared" si="5"/>
        <v>104.07080000000001</v>
      </c>
      <c r="R41" s="82"/>
      <c r="T41" s="86" t="s">
        <v>99</v>
      </c>
      <c r="U41" s="129">
        <v>95.03</v>
      </c>
      <c r="W41" s="93">
        <v>42741</v>
      </c>
      <c r="X41" s="10">
        <v>74.819999999999993</v>
      </c>
      <c r="Y41" s="40">
        <v>75.48</v>
      </c>
      <c r="Z41" s="40">
        <v>74.319999999999993</v>
      </c>
      <c r="AA41" s="10">
        <v>74.959999999999994</v>
      </c>
      <c r="AB41" s="94">
        <v>1608700</v>
      </c>
      <c r="AC41" s="242">
        <v>74.73</v>
      </c>
      <c r="AD41" s="2">
        <f t="shared" si="0"/>
        <v>1.1600000000000108</v>
      </c>
      <c r="AE41" s="137">
        <f t="shared" si="1"/>
        <v>5.1109616677875724E-3</v>
      </c>
    </row>
    <row r="42" spans="1:31" x14ac:dyDescent="0.25">
      <c r="B42" s="192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30">
        <f t="shared" si="4"/>
        <v>1.7091272686111005</v>
      </c>
      <c r="I42" s="40"/>
      <c r="O42" s="2"/>
      <c r="P42" s="82">
        <v>1.05</v>
      </c>
      <c r="Q42" s="82">
        <f t="shared" si="5"/>
        <v>103.08900000000001</v>
      </c>
      <c r="R42" s="82"/>
      <c r="T42" s="86" t="s">
        <v>100</v>
      </c>
      <c r="U42" s="129" t="s">
        <v>672</v>
      </c>
      <c r="W42" s="93">
        <v>42740</v>
      </c>
      <c r="X42" s="10">
        <v>74.66</v>
      </c>
      <c r="Y42" s="40">
        <v>75.38</v>
      </c>
      <c r="Z42" s="40">
        <v>73.94</v>
      </c>
      <c r="AA42" s="10">
        <v>74.569999999999993</v>
      </c>
      <c r="AB42" s="94">
        <v>1832600</v>
      </c>
      <c r="AC42" s="242">
        <v>74.349999999999994</v>
      </c>
      <c r="AD42" s="2">
        <f t="shared" si="0"/>
        <v>1.4399999999999977</v>
      </c>
      <c r="AE42" s="137">
        <f t="shared" si="1"/>
        <v>-5.4842161583735782E-3</v>
      </c>
    </row>
    <row r="43" spans="1:31" x14ac:dyDescent="0.25">
      <c r="B43" s="192">
        <v>42604</v>
      </c>
      <c r="C43" s="10">
        <v>0</v>
      </c>
      <c r="D43" s="40"/>
      <c r="E43" s="40"/>
      <c r="F43" s="40">
        <v>923.51</v>
      </c>
      <c r="G43" s="40"/>
      <c r="H43" s="230"/>
      <c r="I43" s="40"/>
      <c r="O43" s="2"/>
      <c r="P43" s="82">
        <v>1.04</v>
      </c>
      <c r="Q43" s="82">
        <f t="shared" si="5"/>
        <v>102.10720000000001</v>
      </c>
      <c r="R43" s="82"/>
      <c r="T43" s="86" t="s">
        <v>101</v>
      </c>
      <c r="U43" s="129" t="s">
        <v>673</v>
      </c>
      <c r="W43" s="93">
        <v>42739</v>
      </c>
      <c r="X43" s="10">
        <v>75.459999999999994</v>
      </c>
      <c r="Y43" s="40">
        <v>75.66</v>
      </c>
      <c r="Z43" s="40">
        <v>74.5</v>
      </c>
      <c r="AA43" s="10">
        <v>74.989999999999995</v>
      </c>
      <c r="AB43" s="94">
        <v>1683900</v>
      </c>
      <c r="AC43" s="242">
        <v>74.760000000000005</v>
      </c>
      <c r="AD43" s="2">
        <f t="shared" si="0"/>
        <v>1.1599999999999966</v>
      </c>
      <c r="AE43" s="137">
        <f t="shared" si="1"/>
        <v>-2.1356113187399606E-3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2"/>
      <c r="P44" s="82">
        <v>1.03</v>
      </c>
      <c r="Q44" s="82">
        <f t="shared" si="5"/>
        <v>101.12540000000001</v>
      </c>
      <c r="R44" s="82"/>
      <c r="T44" s="86" t="s">
        <v>102</v>
      </c>
      <c r="U44" s="129">
        <v>93.33</v>
      </c>
      <c r="W44" s="93">
        <v>42738</v>
      </c>
      <c r="X44" s="10">
        <v>75.22</v>
      </c>
      <c r="Y44" s="40">
        <v>76.239999999999995</v>
      </c>
      <c r="Z44" s="40">
        <v>74.400000000000006</v>
      </c>
      <c r="AA44" s="10">
        <v>75.150000000000006</v>
      </c>
      <c r="AB44" s="94">
        <v>2609400</v>
      </c>
      <c r="AC44" s="242">
        <v>74.92</v>
      </c>
      <c r="AD44" s="2">
        <f t="shared" si="0"/>
        <v>1.8399999999999892</v>
      </c>
      <c r="AE44" s="137">
        <f t="shared" si="1"/>
        <v>6.4481461579797283E-3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2"/>
      <c r="P45" s="82">
        <v>1.02</v>
      </c>
      <c r="Q45" s="82">
        <f t="shared" si="5"/>
        <v>100.14360000000001</v>
      </c>
      <c r="R45" s="82"/>
      <c r="T45" s="86" t="s">
        <v>103</v>
      </c>
      <c r="U45" s="129">
        <v>0.72656299999999996</v>
      </c>
      <c r="W45" s="93">
        <v>42734</v>
      </c>
      <c r="X45" s="10">
        <v>76.83</v>
      </c>
      <c r="Y45" s="40">
        <v>76.83</v>
      </c>
      <c r="Z45" s="40">
        <v>74.319999999999993</v>
      </c>
      <c r="AA45" s="10">
        <v>74.66</v>
      </c>
      <c r="AB45" s="94">
        <v>1844400</v>
      </c>
      <c r="AC45" s="242">
        <v>74.44</v>
      </c>
      <c r="AD45" s="2">
        <f t="shared" si="0"/>
        <v>2.5100000000000051</v>
      </c>
      <c r="AE45" s="137">
        <f t="shared" si="1"/>
        <v>-2.4760906589807452E-2</v>
      </c>
    </row>
    <row r="46" spans="1:31" x14ac:dyDescent="0.25">
      <c r="O46" s="2"/>
      <c r="P46" s="82">
        <v>1.01</v>
      </c>
      <c r="Q46" s="82">
        <f t="shared" si="5"/>
        <v>99.161800000000014</v>
      </c>
      <c r="R46" s="82"/>
      <c r="T46" s="86" t="s">
        <v>122</v>
      </c>
      <c r="U46" s="93" t="s">
        <v>417</v>
      </c>
      <c r="W46" s="93">
        <v>42733</v>
      </c>
      <c r="X46" s="10">
        <v>76.739999999999995</v>
      </c>
      <c r="Y46" s="40">
        <v>77.12</v>
      </c>
      <c r="Z46" s="40">
        <v>75.63</v>
      </c>
      <c r="AA46" s="10">
        <v>76.56</v>
      </c>
      <c r="AB46" s="94">
        <v>1164900</v>
      </c>
      <c r="AC46" s="242">
        <v>76.33</v>
      </c>
      <c r="AD46" s="2">
        <f t="shared" si="0"/>
        <v>1.4900000000000091</v>
      </c>
      <c r="AE46" s="137">
        <f t="shared" si="1"/>
        <v>-6.1197916666666519E-3</v>
      </c>
    </row>
    <row r="47" spans="1:31" x14ac:dyDescent="0.25">
      <c r="O47" s="2"/>
      <c r="P47" s="82">
        <v>1</v>
      </c>
      <c r="Q47" s="82">
        <f t="shared" si="5"/>
        <v>98.18</v>
      </c>
      <c r="R47" s="82"/>
      <c r="T47" s="86"/>
      <c r="U47" s="129"/>
      <c r="W47" s="93">
        <v>42732</v>
      </c>
      <c r="X47" s="10">
        <v>78.47</v>
      </c>
      <c r="Y47" s="40">
        <v>78.599999999999994</v>
      </c>
      <c r="Z47" s="40">
        <v>76.91</v>
      </c>
      <c r="AA47" s="10">
        <v>77.03</v>
      </c>
      <c r="AB47" s="94">
        <v>1070600</v>
      </c>
      <c r="AC47" s="242">
        <v>76.8</v>
      </c>
      <c r="AD47" s="2">
        <f t="shared" si="0"/>
        <v>1.6899999999999977</v>
      </c>
      <c r="AE47" s="137">
        <f t="shared" si="1"/>
        <v>-1.6519400691509922E-2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 t="s">
        <v>65</v>
      </c>
      <c r="M48" s="368">
        <f>K59+M59-F59</f>
        <v>414.59000000000015</v>
      </c>
      <c r="O48" s="2"/>
      <c r="P48" s="82">
        <v>0.99</v>
      </c>
      <c r="Q48" s="82">
        <f t="shared" si="5"/>
        <v>97.1982</v>
      </c>
      <c r="R48" s="82"/>
      <c r="T48" s="86" t="s">
        <v>105</v>
      </c>
      <c r="U48" s="129" t="s">
        <v>674</v>
      </c>
      <c r="W48" s="93">
        <v>42731</v>
      </c>
      <c r="X48" s="10">
        <v>77.900000000000006</v>
      </c>
      <c r="Y48" s="40">
        <v>78.83</v>
      </c>
      <c r="Z48" s="40">
        <v>77.66</v>
      </c>
      <c r="AA48" s="10">
        <v>78.33</v>
      </c>
      <c r="AB48" s="94">
        <v>718300</v>
      </c>
      <c r="AC48" s="242">
        <v>78.09</v>
      </c>
      <c r="AD48" s="2">
        <f t="shared" si="0"/>
        <v>1.1700000000000017</v>
      </c>
      <c r="AE48" s="137">
        <f t="shared" si="1"/>
        <v>3.7275064267352498E-3</v>
      </c>
    </row>
    <row r="49" spans="1:31" x14ac:dyDescent="0.25">
      <c r="A49" s="262" t="s">
        <v>1</v>
      </c>
      <c r="B49" s="262" t="s">
        <v>2</v>
      </c>
      <c r="C49" s="262" t="s">
        <v>4</v>
      </c>
      <c r="D49" s="263" t="s">
        <v>5</v>
      </c>
      <c r="E49" s="263" t="s">
        <v>90</v>
      </c>
      <c r="F49" s="263" t="s">
        <v>60</v>
      </c>
      <c r="G49" s="262" t="s">
        <v>3</v>
      </c>
      <c r="H49" s="262" t="s">
        <v>6</v>
      </c>
      <c r="I49" s="263" t="s">
        <v>7</v>
      </c>
      <c r="J49" s="263" t="s">
        <v>89</v>
      </c>
      <c r="K49" s="263" t="s">
        <v>61</v>
      </c>
      <c r="L49" s="262" t="s">
        <v>77</v>
      </c>
      <c r="M49" s="262" t="s">
        <v>38</v>
      </c>
      <c r="O49" s="2"/>
      <c r="P49" s="82">
        <v>0.98</v>
      </c>
      <c r="Q49" s="82">
        <f t="shared" si="5"/>
        <v>96.216400000000007</v>
      </c>
      <c r="R49" s="82"/>
      <c r="T49" s="86" t="s">
        <v>106</v>
      </c>
      <c r="U49" s="129" t="s">
        <v>566</v>
      </c>
      <c r="W49" s="93">
        <v>42727</v>
      </c>
      <c r="X49" s="10">
        <v>78.22</v>
      </c>
      <c r="Y49" s="40">
        <v>78.45</v>
      </c>
      <c r="Z49" s="40">
        <v>77.62</v>
      </c>
      <c r="AA49" s="10">
        <v>78.03</v>
      </c>
      <c r="AB49" s="94">
        <v>826700</v>
      </c>
      <c r="AC49" s="242">
        <v>77.8</v>
      </c>
      <c r="AD49" s="2">
        <f t="shared" si="0"/>
        <v>0.82999999999999829</v>
      </c>
      <c r="AE49" s="137">
        <f t="shared" si="1"/>
        <v>-1.411885508920574E-3</v>
      </c>
    </row>
    <row r="50" spans="1:31" x14ac:dyDescent="0.25">
      <c r="A50" s="264" t="s">
        <v>172</v>
      </c>
      <c r="B50" s="265">
        <v>42374</v>
      </c>
      <c r="C50" s="260">
        <v>30</v>
      </c>
      <c r="D50" s="261">
        <v>73.8</v>
      </c>
      <c r="E50" s="261">
        <v>0</v>
      </c>
      <c r="F50" s="261">
        <f t="shared" ref="F50:F55" si="6">C50*D50+E50</f>
        <v>2214</v>
      </c>
      <c r="G50" s="265">
        <v>42398</v>
      </c>
      <c r="H50" s="266">
        <v>30</v>
      </c>
      <c r="I50" s="261">
        <v>68.8</v>
      </c>
      <c r="J50" s="261">
        <v>0.04</v>
      </c>
      <c r="K50" s="261">
        <f t="shared" ref="K50:K55" si="7">I50*H50-J50</f>
        <v>2063.96</v>
      </c>
      <c r="L50" s="265">
        <v>42432</v>
      </c>
      <c r="M50" s="261">
        <v>31.2</v>
      </c>
      <c r="O50" s="2"/>
      <c r="P50" s="82">
        <v>0.97</v>
      </c>
      <c r="Q50" s="82">
        <f t="shared" si="5"/>
        <v>95.2346</v>
      </c>
      <c r="R50" s="82"/>
      <c r="T50" s="86" t="s">
        <v>107</v>
      </c>
      <c r="U50" s="130">
        <v>1505851</v>
      </c>
      <c r="W50" s="93">
        <v>42726</v>
      </c>
      <c r="X50" s="10">
        <v>77.930000000000007</v>
      </c>
      <c r="Y50" s="40">
        <v>78.33</v>
      </c>
      <c r="Z50" s="40">
        <v>77</v>
      </c>
      <c r="AA50" s="10">
        <v>78.150000000000006</v>
      </c>
      <c r="AB50" s="94">
        <v>1705300</v>
      </c>
      <c r="AC50" s="242">
        <v>77.91</v>
      </c>
      <c r="AD50" s="2">
        <f t="shared" si="0"/>
        <v>1.3299999999999983</v>
      </c>
      <c r="AE50" s="137">
        <f t="shared" si="1"/>
        <v>1.3925039042165466E-2</v>
      </c>
    </row>
    <row r="51" spans="1:31" x14ac:dyDescent="0.25">
      <c r="A51" s="267"/>
      <c r="B51" s="265">
        <v>42375</v>
      </c>
      <c r="C51" s="260">
        <v>30</v>
      </c>
      <c r="D51" s="261">
        <v>69.3</v>
      </c>
      <c r="E51" s="261">
        <v>0</v>
      </c>
      <c r="F51" s="261">
        <f t="shared" si="6"/>
        <v>2079</v>
      </c>
      <c r="G51" s="265">
        <v>42416</v>
      </c>
      <c r="H51" s="260">
        <v>30</v>
      </c>
      <c r="I51" s="261">
        <v>61.3</v>
      </c>
      <c r="J51" s="261">
        <v>0.04</v>
      </c>
      <c r="K51" s="261">
        <f t="shared" si="7"/>
        <v>1838.96</v>
      </c>
      <c r="L51" s="260"/>
      <c r="M51" s="260"/>
      <c r="O51" s="2"/>
      <c r="P51" s="82">
        <v>0.96</v>
      </c>
      <c r="Q51" s="82">
        <f t="shared" si="5"/>
        <v>94.252800000000008</v>
      </c>
      <c r="R51" s="82"/>
      <c r="T51" s="86" t="s">
        <v>110</v>
      </c>
      <c r="U51" s="130">
        <v>2489320</v>
      </c>
      <c r="W51" s="93">
        <v>42725</v>
      </c>
      <c r="X51" s="10">
        <v>76.66</v>
      </c>
      <c r="Y51" s="40">
        <v>77.150000000000006</v>
      </c>
      <c r="Z51" s="40">
        <v>76.010000000000005</v>
      </c>
      <c r="AA51" s="10">
        <v>77.069999999999993</v>
      </c>
      <c r="AB51" s="94">
        <v>1494900</v>
      </c>
      <c r="AC51" s="242">
        <v>76.84</v>
      </c>
      <c r="AD51" s="2">
        <f t="shared" si="0"/>
        <v>1.1400000000000006</v>
      </c>
      <c r="AE51" s="137">
        <f t="shared" si="1"/>
        <v>6.0225189840272808E-3</v>
      </c>
    </row>
    <row r="52" spans="1:31" x14ac:dyDescent="0.25">
      <c r="A52" s="260"/>
      <c r="B52" s="265">
        <v>42380</v>
      </c>
      <c r="C52" s="260">
        <v>30</v>
      </c>
      <c r="D52" s="261">
        <v>65.400000000000006</v>
      </c>
      <c r="E52" s="261">
        <v>0</v>
      </c>
      <c r="F52" s="261">
        <f t="shared" si="6"/>
        <v>1962.0000000000002</v>
      </c>
      <c r="G52" s="265">
        <v>42429</v>
      </c>
      <c r="H52" s="266">
        <v>30</v>
      </c>
      <c r="I52" s="261">
        <v>67.5</v>
      </c>
      <c r="J52" s="261">
        <v>0.04</v>
      </c>
      <c r="K52" s="261">
        <f t="shared" si="7"/>
        <v>2024.96</v>
      </c>
      <c r="L52" s="260"/>
      <c r="M52" s="260"/>
      <c r="O52" s="2"/>
      <c r="P52" s="82">
        <v>0.95</v>
      </c>
      <c r="Q52" s="82">
        <f t="shared" si="5"/>
        <v>93.271000000000001</v>
      </c>
      <c r="R52" s="82"/>
      <c r="T52" s="86" t="s">
        <v>108</v>
      </c>
      <c r="U52" s="129" t="s">
        <v>675</v>
      </c>
      <c r="W52" s="93">
        <v>42724</v>
      </c>
      <c r="X52" s="10">
        <v>77.52</v>
      </c>
      <c r="Y52" s="40">
        <v>77.790000000000006</v>
      </c>
      <c r="Z52" s="40">
        <v>76.319999999999993</v>
      </c>
      <c r="AA52" s="10">
        <v>76.61</v>
      </c>
      <c r="AB52" s="94">
        <v>1339400</v>
      </c>
      <c r="AC52" s="242">
        <v>76.38</v>
      </c>
      <c r="AD52" s="2">
        <f t="shared" si="0"/>
        <v>1.4700000000000131</v>
      </c>
      <c r="AE52" s="137">
        <f t="shared" si="1"/>
        <v>-1.0749902862323468E-2</v>
      </c>
    </row>
    <row r="53" spans="1:31" x14ac:dyDescent="0.25">
      <c r="A53" s="260"/>
      <c r="B53" s="265">
        <v>42402</v>
      </c>
      <c r="C53" s="274">
        <v>30</v>
      </c>
      <c r="D53" s="367">
        <v>67.2</v>
      </c>
      <c r="E53" s="367">
        <v>0</v>
      </c>
      <c r="F53" s="367">
        <f t="shared" si="6"/>
        <v>2016</v>
      </c>
      <c r="G53" s="265">
        <v>42430</v>
      </c>
      <c r="H53" s="266">
        <v>30</v>
      </c>
      <c r="I53" s="261">
        <v>69.349999999999994</v>
      </c>
      <c r="J53" s="261">
        <v>0.05</v>
      </c>
      <c r="K53" s="261">
        <f t="shared" si="7"/>
        <v>2080.4499999999998</v>
      </c>
      <c r="L53" s="260"/>
      <c r="M53" s="260"/>
      <c r="O53" s="2"/>
      <c r="P53" s="82">
        <v>0.94</v>
      </c>
      <c r="Q53" s="82">
        <f t="shared" si="5"/>
        <v>92.289200000000008</v>
      </c>
      <c r="R53" s="82"/>
      <c r="T53" s="86" t="s">
        <v>111</v>
      </c>
      <c r="U53" s="129">
        <v>20.079999999999998</v>
      </c>
      <c r="W53" s="93">
        <v>42723</v>
      </c>
      <c r="X53" s="10">
        <v>76.95</v>
      </c>
      <c r="Y53" s="40">
        <v>78.33</v>
      </c>
      <c r="Z53" s="40">
        <v>76.91</v>
      </c>
      <c r="AA53" s="10">
        <v>77.44</v>
      </c>
      <c r="AB53" s="94">
        <v>1116600</v>
      </c>
      <c r="AC53" s="242">
        <v>77.209999999999994</v>
      </c>
      <c r="AD53" s="2">
        <f t="shared" si="0"/>
        <v>1.4200000000000017</v>
      </c>
      <c r="AE53" s="137">
        <f t="shared" si="1"/>
        <v>8.2266910420474293E-3</v>
      </c>
    </row>
    <row r="54" spans="1:31" x14ac:dyDescent="0.25">
      <c r="A54" s="260"/>
      <c r="B54" s="265">
        <v>42405</v>
      </c>
      <c r="C54" s="260">
        <v>30</v>
      </c>
      <c r="D54" s="261">
        <v>62.75</v>
      </c>
      <c r="E54" s="261">
        <v>0</v>
      </c>
      <c r="F54" s="261">
        <f t="shared" si="6"/>
        <v>1882.5</v>
      </c>
      <c r="G54" s="265">
        <v>42433</v>
      </c>
      <c r="H54" s="266">
        <v>30</v>
      </c>
      <c r="I54" s="261">
        <v>73.45</v>
      </c>
      <c r="J54" s="261">
        <v>0.05</v>
      </c>
      <c r="K54" s="261">
        <f t="shared" si="7"/>
        <v>2203.4499999999998</v>
      </c>
      <c r="L54" s="260"/>
      <c r="M54" s="260"/>
      <c r="O54" s="2"/>
      <c r="P54" s="82">
        <v>0.93</v>
      </c>
      <c r="Q54" s="82">
        <f t="shared" si="5"/>
        <v>91.307400000000015</v>
      </c>
      <c r="R54" s="82"/>
      <c r="T54" s="86" t="s">
        <v>112</v>
      </c>
      <c r="U54" s="129">
        <v>4.7300000000000004</v>
      </c>
      <c r="W54" s="93">
        <v>42720</v>
      </c>
      <c r="X54" s="10">
        <v>77.510000000000005</v>
      </c>
      <c r="Y54" s="40">
        <v>78.59</v>
      </c>
      <c r="Z54" s="40">
        <v>76.67</v>
      </c>
      <c r="AA54" s="10">
        <v>76.81</v>
      </c>
      <c r="AB54" s="94">
        <v>2335500</v>
      </c>
      <c r="AC54" s="242">
        <v>76.58</v>
      </c>
      <c r="AD54" s="2">
        <f t="shared" si="0"/>
        <v>1.9200000000000017</v>
      </c>
      <c r="AE54" s="137">
        <f t="shared" si="1"/>
        <v>-5.196154845414469E-3</v>
      </c>
    </row>
    <row r="55" spans="1:31" x14ac:dyDescent="0.25">
      <c r="A55" s="260"/>
      <c r="B55" s="265">
        <v>42429</v>
      </c>
      <c r="C55" s="260">
        <v>30</v>
      </c>
      <c r="D55" s="261">
        <v>66.75</v>
      </c>
      <c r="E55" s="261">
        <v>0</v>
      </c>
      <c r="F55" s="261">
        <f t="shared" si="6"/>
        <v>2002.5</v>
      </c>
      <c r="G55" s="265">
        <v>42440</v>
      </c>
      <c r="H55" s="266">
        <v>30</v>
      </c>
      <c r="I55" s="261">
        <v>72.55</v>
      </c>
      <c r="J55" s="261">
        <v>0.05</v>
      </c>
      <c r="K55" s="261">
        <f t="shared" si="7"/>
        <v>2176.4499999999998</v>
      </c>
      <c r="L55" s="260"/>
      <c r="M55" s="260"/>
      <c r="O55" s="2"/>
      <c r="P55" s="82">
        <v>0.92</v>
      </c>
      <c r="Q55" s="82">
        <f t="shared" si="5"/>
        <v>90.325600000000009</v>
      </c>
      <c r="R55" s="82"/>
      <c r="T55" s="86" t="s">
        <v>109</v>
      </c>
      <c r="U55" s="129" t="s">
        <v>567</v>
      </c>
      <c r="W55" s="93">
        <v>42719</v>
      </c>
      <c r="X55" s="10">
        <v>75.209999999999994</v>
      </c>
      <c r="Y55" s="40">
        <v>77.83</v>
      </c>
      <c r="Z55" s="40">
        <v>74.63</v>
      </c>
      <c r="AA55" s="10">
        <v>77.209999999999994</v>
      </c>
      <c r="AB55" s="94">
        <v>2330900</v>
      </c>
      <c r="AC55" s="242">
        <v>76.98</v>
      </c>
      <c r="AD55" s="2">
        <f t="shared" si="0"/>
        <v>3.2000000000000028</v>
      </c>
      <c r="AE55" s="137">
        <f t="shared" si="1"/>
        <v>2.7633159791750295E-2</v>
      </c>
    </row>
    <row r="56" spans="1:31" x14ac:dyDescent="0.25">
      <c r="A56" s="260"/>
      <c r="B56" s="265">
        <v>42502</v>
      </c>
      <c r="C56" s="260">
        <v>30</v>
      </c>
      <c r="D56" s="261">
        <v>61.79</v>
      </c>
      <c r="E56" s="261">
        <v>0</v>
      </c>
      <c r="F56" s="261">
        <v>1853.7</v>
      </c>
      <c r="G56" s="260">
        <v>42544</v>
      </c>
      <c r="H56" s="260">
        <v>30</v>
      </c>
      <c r="I56" s="261">
        <v>66.83</v>
      </c>
      <c r="J56" s="261">
        <v>0.04</v>
      </c>
      <c r="K56" s="261">
        <v>2004.86</v>
      </c>
      <c r="L56" s="260"/>
      <c r="M56" s="260"/>
      <c r="O56" s="2"/>
      <c r="P56" s="82">
        <v>0.91</v>
      </c>
      <c r="Q56" s="82">
        <f t="shared" si="5"/>
        <v>89.343800000000016</v>
      </c>
      <c r="R56" s="82"/>
      <c r="W56" s="93">
        <v>42718</v>
      </c>
      <c r="X56" s="10">
        <v>76.489999999999995</v>
      </c>
      <c r="Y56" s="40">
        <v>77</v>
      </c>
      <c r="Z56" s="40">
        <v>74.62</v>
      </c>
      <c r="AA56" s="10">
        <v>75.14</v>
      </c>
      <c r="AB56" s="94">
        <v>2620900</v>
      </c>
      <c r="AC56" s="242">
        <v>74.91</v>
      </c>
      <c r="AD56" s="2">
        <f t="shared" si="0"/>
        <v>2.3799999999999955</v>
      </c>
      <c r="AE56" s="137">
        <f t="shared" si="1"/>
        <v>-2.2700587084148793E-2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0"/>
      <c r="I57" s="261"/>
      <c r="J57" s="261"/>
      <c r="K57" s="261"/>
      <c r="L57" s="260"/>
      <c r="M57" s="260"/>
      <c r="O57" s="2"/>
      <c r="P57" s="82">
        <v>0.9</v>
      </c>
      <c r="Q57" s="82">
        <f t="shared" si="5"/>
        <v>88.362000000000009</v>
      </c>
      <c r="R57" s="82"/>
      <c r="W57" s="93">
        <v>42717</v>
      </c>
      <c r="X57" s="10">
        <v>76.8</v>
      </c>
      <c r="Y57" s="40">
        <v>77.63</v>
      </c>
      <c r="Z57" s="40">
        <v>75.95</v>
      </c>
      <c r="AA57" s="10">
        <v>76.88</v>
      </c>
      <c r="AB57" s="94">
        <v>1714300</v>
      </c>
      <c r="AC57" s="242">
        <v>76.650000000000006</v>
      </c>
      <c r="AD57" s="2">
        <f t="shared" si="0"/>
        <v>1.6799999999999926</v>
      </c>
      <c r="AE57" s="137">
        <f t="shared" si="1"/>
        <v>8.1546757858741437E-3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0"/>
      <c r="I58" s="261"/>
      <c r="J58" s="261"/>
      <c r="K58" s="261"/>
      <c r="L58" s="260"/>
      <c r="M58" s="260"/>
      <c r="W58" s="93">
        <v>42716</v>
      </c>
      <c r="X58" s="10">
        <v>76.36</v>
      </c>
      <c r="Y58" s="40">
        <v>77.08</v>
      </c>
      <c r="Z58" s="40">
        <v>75.37</v>
      </c>
      <c r="AA58" s="10">
        <v>76.260000000000005</v>
      </c>
      <c r="AB58" s="94">
        <v>2302900</v>
      </c>
      <c r="AC58" s="242">
        <v>76.03</v>
      </c>
      <c r="AD58" s="2">
        <f t="shared" si="0"/>
        <v>1.7099999999999937</v>
      </c>
      <c r="AE58" s="137">
        <f t="shared" si="1"/>
        <v>-8.7353324641460395E-3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2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3">
        <v>42713</v>
      </c>
      <c r="X59" s="10">
        <v>80.599999999999994</v>
      </c>
      <c r="Y59" s="40">
        <v>81.040000000000006</v>
      </c>
      <c r="Z59" s="40">
        <v>75.650000000000006</v>
      </c>
      <c r="AA59" s="10">
        <v>76.930000000000007</v>
      </c>
      <c r="AB59" s="94">
        <v>4750200</v>
      </c>
      <c r="AC59" s="242">
        <v>76.7</v>
      </c>
      <c r="AD59" s="2">
        <f t="shared" si="0"/>
        <v>5.3900000000000006</v>
      </c>
      <c r="AE59" s="137">
        <f t="shared" si="1"/>
        <v>-3.2542885973763869E-2</v>
      </c>
    </row>
    <row r="60" spans="1:31" x14ac:dyDescent="0.25">
      <c r="W60" s="93">
        <v>42712</v>
      </c>
      <c r="X60" s="10">
        <v>77.3</v>
      </c>
      <c r="Y60" s="40">
        <v>79.739999999999995</v>
      </c>
      <c r="Z60" s="40">
        <v>76.98</v>
      </c>
      <c r="AA60" s="10">
        <v>79.52</v>
      </c>
      <c r="AB60" s="94">
        <v>2716800</v>
      </c>
      <c r="AC60" s="242">
        <v>79.28</v>
      </c>
      <c r="AD60" s="2">
        <f t="shared" si="0"/>
        <v>2.7599999999999909</v>
      </c>
      <c r="AE60" s="137">
        <f t="shared" si="1"/>
        <v>2.8141615873427561E-2</v>
      </c>
    </row>
    <row r="61" spans="1:31" x14ac:dyDescent="0.25">
      <c r="L61" t="s">
        <v>65</v>
      </c>
      <c r="M61" s="451">
        <f>K79+M79-F79</f>
        <v>954.30999999999767</v>
      </c>
      <c r="W61" s="93">
        <v>42711</v>
      </c>
      <c r="X61" s="10">
        <v>75.78</v>
      </c>
      <c r="Y61" s="40">
        <v>77.66</v>
      </c>
      <c r="Z61" s="40">
        <v>74.25</v>
      </c>
      <c r="AA61" s="10">
        <v>77.34</v>
      </c>
      <c r="AB61" s="94">
        <v>2471500</v>
      </c>
      <c r="AC61" s="242">
        <v>77.11</v>
      </c>
      <c r="AD61" s="2">
        <f t="shared" si="0"/>
        <v>3.4099999999999966</v>
      </c>
      <c r="AE61" s="137">
        <f t="shared" si="1"/>
        <v>1.5406900184356198E-2</v>
      </c>
    </row>
    <row r="62" spans="1:31" x14ac:dyDescent="0.25">
      <c r="A62" s="262" t="s">
        <v>1</v>
      </c>
      <c r="B62" s="262" t="s">
        <v>2</v>
      </c>
      <c r="C62" s="262" t="s">
        <v>4</v>
      </c>
      <c r="D62" s="263" t="s">
        <v>5</v>
      </c>
      <c r="E62" s="263" t="s">
        <v>90</v>
      </c>
      <c r="F62" s="263" t="s">
        <v>60</v>
      </c>
      <c r="G62" s="262" t="s">
        <v>3</v>
      </c>
      <c r="H62" s="262" t="s">
        <v>6</v>
      </c>
      <c r="I62" s="263" t="s">
        <v>7</v>
      </c>
      <c r="J62" s="263" t="s">
        <v>89</v>
      </c>
      <c r="K62" s="263" t="s">
        <v>61</v>
      </c>
      <c r="L62" s="262" t="s">
        <v>77</v>
      </c>
      <c r="M62" s="262" t="s">
        <v>38</v>
      </c>
      <c r="W62" s="93">
        <v>42710</v>
      </c>
      <c r="X62" s="10">
        <v>75.33</v>
      </c>
      <c r="Y62" s="40">
        <v>76.55</v>
      </c>
      <c r="Z62" s="40">
        <v>74.819999999999993</v>
      </c>
      <c r="AA62" s="10">
        <v>76.17</v>
      </c>
      <c r="AB62" s="94">
        <v>3299000</v>
      </c>
      <c r="AC62" s="242">
        <v>75.94</v>
      </c>
      <c r="AD62" s="2">
        <f t="shared" si="0"/>
        <v>1.730000000000004</v>
      </c>
      <c r="AE62" s="137">
        <f t="shared" si="1"/>
        <v>1.809894087679309E-2</v>
      </c>
    </row>
    <row r="63" spans="1:31" x14ac:dyDescent="0.25">
      <c r="A63" s="264" t="s">
        <v>172</v>
      </c>
      <c r="B63" s="265">
        <v>42545</v>
      </c>
      <c r="C63" s="260">
        <v>60</v>
      </c>
      <c r="D63" s="261">
        <v>63.32</v>
      </c>
      <c r="E63" s="261">
        <v>0</v>
      </c>
      <c r="F63" s="261">
        <f>C63*D63+E63</f>
        <v>3799.2</v>
      </c>
      <c r="G63" s="265">
        <v>42551</v>
      </c>
      <c r="H63" s="266">
        <v>60</v>
      </c>
      <c r="I63" s="261">
        <v>62.98</v>
      </c>
      <c r="J63" s="261">
        <v>7.03</v>
      </c>
      <c r="K63" s="261">
        <f>I63*H63-J63</f>
        <v>3771.7699999999995</v>
      </c>
      <c r="L63" s="265">
        <v>42607</v>
      </c>
      <c r="M63" s="261">
        <v>30.8</v>
      </c>
      <c r="W63" s="93">
        <v>42709</v>
      </c>
      <c r="X63" s="10">
        <v>73.72</v>
      </c>
      <c r="Y63" s="40">
        <v>74.98</v>
      </c>
      <c r="Z63" s="40">
        <v>73.489999999999995</v>
      </c>
      <c r="AA63" s="10">
        <v>74.819999999999993</v>
      </c>
      <c r="AB63" s="94">
        <v>2899600</v>
      </c>
      <c r="AC63" s="242">
        <v>74.59</v>
      </c>
      <c r="AD63" s="2">
        <f t="shared" si="0"/>
        <v>1.4900000000000091</v>
      </c>
      <c r="AE63" s="137">
        <f t="shared" si="1"/>
        <v>2.0103938730853477E-2</v>
      </c>
    </row>
    <row r="64" spans="1:31" x14ac:dyDescent="0.25">
      <c r="A64" s="267" t="s">
        <v>71</v>
      </c>
      <c r="B64" s="265">
        <v>42548</v>
      </c>
      <c r="C64" s="260">
        <v>60</v>
      </c>
      <c r="D64" s="261">
        <v>58.55</v>
      </c>
      <c r="E64" s="261">
        <v>0</v>
      </c>
      <c r="F64" s="261">
        <f>C64*D64+E64</f>
        <v>3513</v>
      </c>
      <c r="G64" s="265">
        <v>42587</v>
      </c>
      <c r="H64" s="266">
        <v>20</v>
      </c>
      <c r="I64" s="261">
        <v>65.900000000000006</v>
      </c>
      <c r="J64" s="261">
        <v>0.03</v>
      </c>
      <c r="K64" s="261">
        <f>I64*H64-J64</f>
        <v>1317.97</v>
      </c>
      <c r="L64" s="260"/>
      <c r="M64" s="260"/>
      <c r="W64" s="93">
        <v>42706</v>
      </c>
      <c r="X64" s="10">
        <v>71.69</v>
      </c>
      <c r="Y64" s="40">
        <v>73.44</v>
      </c>
      <c r="Z64" s="40">
        <v>71.650000000000006</v>
      </c>
      <c r="AA64" s="10">
        <v>73.34</v>
      </c>
      <c r="AB64" s="94">
        <v>1927100</v>
      </c>
      <c r="AC64" s="242">
        <v>73.12</v>
      </c>
      <c r="AD64" s="2">
        <f t="shared" si="0"/>
        <v>1.789999999999992</v>
      </c>
      <c r="AE64" s="137">
        <f t="shared" si="1"/>
        <v>2.1799888205701556E-2</v>
      </c>
    </row>
    <row r="65" spans="1:31" x14ac:dyDescent="0.25">
      <c r="A65" s="260"/>
      <c r="B65" s="265">
        <v>42557</v>
      </c>
      <c r="C65" s="260">
        <v>30</v>
      </c>
      <c r="D65" s="261">
        <v>57.58</v>
      </c>
      <c r="E65" s="261">
        <v>0</v>
      </c>
      <c r="F65" s="261">
        <f>C65*D65+E65</f>
        <v>1727.3999999999999</v>
      </c>
      <c r="G65" s="265">
        <v>42593</v>
      </c>
      <c r="H65" s="266">
        <v>70</v>
      </c>
      <c r="I65" s="261">
        <v>67.05</v>
      </c>
      <c r="J65" s="261">
        <v>0.1</v>
      </c>
      <c r="K65" s="261">
        <f>I65*H65-J65</f>
        <v>4693.3999999999996</v>
      </c>
      <c r="L65" s="260"/>
      <c r="M65" s="260"/>
      <c r="W65" s="93">
        <v>42705</v>
      </c>
      <c r="X65" s="10">
        <v>76.92</v>
      </c>
      <c r="Y65" s="40">
        <v>77.069999999999993</v>
      </c>
      <c r="Z65" s="40">
        <v>71.650000000000006</v>
      </c>
      <c r="AA65" s="10">
        <v>71.78</v>
      </c>
      <c r="AB65" s="94">
        <v>4086900</v>
      </c>
      <c r="AC65" s="242">
        <v>71.56</v>
      </c>
      <c r="AD65" s="2">
        <f t="shared" si="0"/>
        <v>5.4199999999999875</v>
      </c>
      <c r="AE65" s="137">
        <f t="shared" si="1"/>
        <v>-6.6040198381623672E-2</v>
      </c>
    </row>
    <row r="66" spans="1:31" x14ac:dyDescent="0.25">
      <c r="A66" s="260"/>
      <c r="B66" s="265">
        <v>42573</v>
      </c>
      <c r="C66" s="274">
        <v>20</v>
      </c>
      <c r="D66" s="367">
        <v>63.68</v>
      </c>
      <c r="E66" s="367">
        <v>0</v>
      </c>
      <c r="F66" s="261">
        <f>C66*D66+E66</f>
        <v>1273.5999999999999</v>
      </c>
      <c r="G66" s="265">
        <v>42604</v>
      </c>
      <c r="H66" s="266">
        <v>20</v>
      </c>
      <c r="I66" s="261">
        <v>72.680000000000007</v>
      </c>
      <c r="J66" s="261">
        <v>0.03</v>
      </c>
      <c r="K66" s="261">
        <f>I66*H66-J66</f>
        <v>1453.5700000000002</v>
      </c>
      <c r="L66" s="260"/>
      <c r="M66" s="260"/>
      <c r="W66" s="93">
        <v>42704</v>
      </c>
      <c r="X66" s="10">
        <v>77.489999999999995</v>
      </c>
      <c r="Y66" s="40">
        <v>77.790000000000006</v>
      </c>
      <c r="Z66" s="40">
        <v>76.44</v>
      </c>
      <c r="AA66" s="10">
        <v>76.849999999999994</v>
      </c>
      <c r="AB66" s="94">
        <v>1595400</v>
      </c>
      <c r="AC66" s="242">
        <v>76.62</v>
      </c>
      <c r="AD66" s="2">
        <f t="shared" si="0"/>
        <v>1.3500000000000085</v>
      </c>
      <c r="AE66" s="137">
        <f t="shared" si="1"/>
        <v>-4.8058189375241867E-3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1"/>
      <c r="J67" s="261"/>
      <c r="K67" s="261"/>
      <c r="L67" s="260"/>
      <c r="M67" s="260"/>
      <c r="W67" s="93">
        <v>42703</v>
      </c>
      <c r="X67" s="10">
        <v>77.09</v>
      </c>
      <c r="Y67" s="40">
        <v>77.72</v>
      </c>
      <c r="Z67" s="40">
        <v>76.28</v>
      </c>
      <c r="AA67" s="10">
        <v>77.22</v>
      </c>
      <c r="AB67" s="94">
        <v>1721700</v>
      </c>
      <c r="AC67" s="242">
        <v>76.989999999999995</v>
      </c>
      <c r="AD67" s="2">
        <f t="shared" si="0"/>
        <v>1.4399999999999977</v>
      </c>
      <c r="AE67" s="137" t="e">
        <f>AC67/#REF!-1</f>
        <v>#REF!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1"/>
      <c r="K68" s="261"/>
      <c r="L68" s="260"/>
      <c r="M68" s="260"/>
      <c r="W68" s="93">
        <v>42702</v>
      </c>
      <c r="X68" s="10">
        <v>77.06</v>
      </c>
      <c r="Y68" s="40">
        <v>77.84</v>
      </c>
      <c r="Z68" s="40">
        <v>75.819999999999993</v>
      </c>
      <c r="AA68" s="10">
        <v>77.3</v>
      </c>
      <c r="AB68" s="94">
        <v>1807000</v>
      </c>
      <c r="AC68" s="242">
        <v>77.069999999999993</v>
      </c>
      <c r="AD68" s="2" t="e">
        <f>#REF!-#REF!</f>
        <v>#REF!</v>
      </c>
      <c r="AE68" s="137" t="e">
        <f>#REF!/#REF!-1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93" t="s">
        <v>121</v>
      </c>
      <c r="X69" s="10"/>
      <c r="Y69" s="40"/>
      <c r="Z69" s="40"/>
      <c r="AA69" s="10"/>
      <c r="AB69" s="94"/>
      <c r="AC69" s="242"/>
      <c r="AD69" s="2" t="e">
        <f>#REF!-#REF!</f>
        <v>#REF!</v>
      </c>
      <c r="AE69" s="137" t="e">
        <f>#REF!/AC69-1</f>
        <v>#REF!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1"/>
      <c r="E73" s="261"/>
      <c r="F73" s="261"/>
      <c r="G73" s="260"/>
      <c r="H73" s="266"/>
      <c r="I73" s="261"/>
      <c r="J73" s="261"/>
      <c r="K73" s="261"/>
      <c r="L73" s="260"/>
      <c r="M73" s="260"/>
    </row>
    <row r="74" spans="1:31" x14ac:dyDescent="0.25">
      <c r="A74" s="260"/>
      <c r="B74" s="260"/>
      <c r="C74" s="260"/>
      <c r="D74" s="261"/>
      <c r="E74" s="261"/>
      <c r="F74" s="261"/>
      <c r="G74" s="260"/>
      <c r="H74" s="266"/>
      <c r="I74" s="261"/>
      <c r="J74" s="261"/>
      <c r="K74" s="261"/>
      <c r="L74" s="260"/>
      <c r="M74" s="260"/>
    </row>
    <row r="75" spans="1:31" x14ac:dyDescent="0.25">
      <c r="A75" s="260"/>
      <c r="B75" s="260"/>
      <c r="C75" s="260"/>
      <c r="D75" s="261"/>
      <c r="E75" s="261"/>
      <c r="F75" s="261"/>
      <c r="G75" s="260"/>
      <c r="H75" s="266"/>
      <c r="I75" s="261"/>
      <c r="J75" s="261"/>
      <c r="K75" s="261"/>
      <c r="L75" s="260"/>
      <c r="M75" s="260"/>
    </row>
    <row r="76" spans="1:31" x14ac:dyDescent="0.25">
      <c r="A76" s="260"/>
      <c r="B76" s="260"/>
      <c r="C76" s="260"/>
      <c r="D76" s="261"/>
      <c r="E76" s="261"/>
      <c r="F76" s="261"/>
      <c r="G76" s="260"/>
      <c r="H76" s="266"/>
      <c r="I76" s="261"/>
      <c r="J76" s="261"/>
      <c r="K76" s="261"/>
      <c r="L76" s="260"/>
      <c r="M76" s="260"/>
    </row>
    <row r="77" spans="1:31" x14ac:dyDescent="0.25">
      <c r="A77" s="260"/>
      <c r="B77" s="260"/>
      <c r="C77" s="260"/>
      <c r="D77" s="261"/>
      <c r="E77" s="261"/>
      <c r="F77" s="261"/>
      <c r="G77" s="260"/>
      <c r="H77" s="266"/>
      <c r="I77" s="261"/>
      <c r="J77" s="261"/>
      <c r="K77" s="261"/>
      <c r="L77" s="260"/>
      <c r="M77" s="260"/>
    </row>
    <row r="78" spans="1:31" x14ac:dyDescent="0.25">
      <c r="A78" s="260"/>
      <c r="B78" s="260"/>
      <c r="C78" s="260"/>
      <c r="D78" s="261"/>
      <c r="E78" s="261"/>
      <c r="F78" s="261"/>
      <c r="G78" s="260"/>
      <c r="H78" s="266"/>
      <c r="I78" s="261"/>
      <c r="J78" s="261"/>
      <c r="K78" s="261"/>
      <c r="L78" s="260"/>
      <c r="M78" s="260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2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2" t="s">
        <v>197</v>
      </c>
      <c r="B80" s="463"/>
      <c r="C80" s="464">
        <f>SumByColor($A$19,C63:C78)</f>
        <v>0</v>
      </c>
      <c r="D80" s="464"/>
      <c r="E80" s="464"/>
      <c r="F80" s="465">
        <f>SumByColor($A$19,F63:F78)</f>
        <v>0</v>
      </c>
      <c r="G80" s="464"/>
      <c r="H80" s="464">
        <f>SumByColor($A$19,H63:H78)</f>
        <v>0</v>
      </c>
      <c r="I80" s="464"/>
      <c r="J80" s="464"/>
      <c r="K80" s="465">
        <f>SumByColor($A$19,K63:K78)</f>
        <v>0</v>
      </c>
      <c r="L80" s="464"/>
      <c r="M80" s="465">
        <f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03" priority="27">
      <formula>F40&gt;0</formula>
    </cfRule>
    <cfRule type="expression" dxfId="502" priority="28">
      <formula>F40&lt;0</formula>
    </cfRule>
  </conditionalFormatting>
  <conditionalFormatting sqref="F40:F45">
    <cfRule type="expression" dxfId="501" priority="29">
      <formula>F40&gt;0</formula>
    </cfRule>
    <cfRule type="expression" dxfId="500" priority="30">
      <formula>F40&lt;0</formula>
    </cfRule>
  </conditionalFormatting>
  <conditionalFormatting sqref="H40:H45">
    <cfRule type="expression" dxfId="499" priority="25">
      <formula>H40&gt;0</formula>
    </cfRule>
    <cfRule type="expression" dxfId="498" priority="26">
      <formula>H40&lt;0</formula>
    </cfRule>
  </conditionalFormatting>
  <conditionalFormatting sqref="F23:F39">
    <cfRule type="expression" dxfId="497" priority="11">
      <formula>F23&gt;0</formula>
    </cfRule>
    <cfRule type="expression" dxfId="496" priority="12">
      <formula>F23&lt;0</formula>
    </cfRule>
  </conditionalFormatting>
  <conditionalFormatting sqref="H23:H39">
    <cfRule type="expression" dxfId="495" priority="9">
      <formula>H23&gt;0</formula>
    </cfRule>
    <cfRule type="expression" dxfId="494" priority="10">
      <formula>H23&lt;0</formula>
    </cfRule>
  </conditionalFormatting>
  <conditionalFormatting sqref="Q7">
    <cfRule type="expression" dxfId="493" priority="7">
      <formula>Q7&gt;0</formula>
    </cfRule>
    <cfRule type="expression" dxfId="492" priority="8">
      <formula>Q7&lt;0</formula>
    </cfRule>
  </conditionalFormatting>
  <conditionalFormatting sqref="Q8">
    <cfRule type="expression" dxfId="491" priority="5">
      <formula>Q8&gt;0</formula>
    </cfRule>
    <cfRule type="expression" dxfId="490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4"/>
      <c r="D2" s="239"/>
      <c r="E2" s="3"/>
      <c r="F2" s="3"/>
      <c r="G2" s="73"/>
      <c r="H2" s="184"/>
      <c r="I2" s="239"/>
      <c r="J2" s="3"/>
      <c r="K2" s="3"/>
      <c r="L2" s="4"/>
      <c r="O2" s="11" t="s">
        <v>57</v>
      </c>
      <c r="Q2" s="71">
        <f>C18-H18</f>
        <v>0</v>
      </c>
      <c r="T2" s="11"/>
      <c r="W2" s="122">
        <v>42797</v>
      </c>
      <c r="X2" s="41">
        <v>70.849999999999994</v>
      </c>
      <c r="Y2" s="41">
        <v>72.040000000000006</v>
      </c>
      <c r="Z2" s="41">
        <v>70.81</v>
      </c>
      <c r="AA2" s="41">
        <v>72.010000000000005</v>
      </c>
      <c r="AB2" s="103">
        <v>976000</v>
      </c>
      <c r="AC2" s="9">
        <v>72.010000000000005</v>
      </c>
      <c r="AD2" s="2">
        <f>Y2-Z2</f>
        <v>1.230000000000004</v>
      </c>
      <c r="AE2" s="137">
        <f>AC2/AC3-1</f>
        <v>1.5083168875105857E-2</v>
      </c>
    </row>
    <row r="3" spans="1:42" x14ac:dyDescent="0.25">
      <c r="A3" s="23" t="s">
        <v>71</v>
      </c>
      <c r="B3" s="73"/>
      <c r="C3" s="184"/>
      <c r="D3" s="239"/>
      <c r="E3" s="3"/>
      <c r="F3" s="3"/>
      <c r="G3" s="73"/>
      <c r="H3" s="184"/>
      <c r="I3" s="239"/>
      <c r="J3" s="3"/>
      <c r="K3" s="3"/>
      <c r="L3" s="4"/>
      <c r="O3" s="11" t="s">
        <v>75</v>
      </c>
      <c r="Q3" s="229">
        <f>IF(Q2=0, Q4, (F18-K18-M18)/Q2)</f>
        <v>72.349999999999994</v>
      </c>
      <c r="W3" s="122">
        <v>42796</v>
      </c>
      <c r="X3" s="41">
        <v>70.34</v>
      </c>
      <c r="Y3" s="41">
        <v>71.150000000000006</v>
      </c>
      <c r="Z3" s="41">
        <v>70.25</v>
      </c>
      <c r="AA3" s="41">
        <v>70.94</v>
      </c>
      <c r="AB3" s="103">
        <v>1060900</v>
      </c>
      <c r="AC3" s="9">
        <v>70.94</v>
      </c>
      <c r="AD3" s="2">
        <f t="shared" ref="AD3:AD66" si="0">Y3-Z3</f>
        <v>0.90000000000000568</v>
      </c>
      <c r="AE3" s="137">
        <f t="shared" ref="AE3:AE66" si="1">AC3/AC4-1</f>
        <v>-2.2503516174401383E-3</v>
      </c>
      <c r="AJ3" s="234"/>
      <c r="AL3" s="233"/>
      <c r="AO3" s="233"/>
    </row>
    <row r="4" spans="1:42" x14ac:dyDescent="0.25">
      <c r="B4" s="73"/>
      <c r="C4" s="184"/>
      <c r="D4" s="239"/>
      <c r="E4" s="3"/>
      <c r="F4" s="3"/>
      <c r="G4" s="73"/>
      <c r="H4" s="184"/>
      <c r="I4" s="239"/>
      <c r="J4" s="3"/>
      <c r="K4" s="3"/>
      <c r="L4" s="4"/>
      <c r="O4" s="11" t="s">
        <v>66</v>
      </c>
      <c r="Q4" s="55">
        <v>72.349999999999994</v>
      </c>
      <c r="R4" s="499">
        <v>9.1000000000000004E-3</v>
      </c>
      <c r="T4" s="1"/>
      <c r="W4" s="122">
        <v>42795</v>
      </c>
      <c r="X4" s="41">
        <v>70.12</v>
      </c>
      <c r="Y4" s="41">
        <v>71.27</v>
      </c>
      <c r="Z4" s="41">
        <v>70.03</v>
      </c>
      <c r="AA4" s="41">
        <v>71.099999999999994</v>
      </c>
      <c r="AB4" s="103">
        <v>1409400</v>
      </c>
      <c r="AC4" s="9">
        <v>71.099999999999994</v>
      </c>
      <c r="AD4" s="2">
        <f t="shared" si="0"/>
        <v>1.2399999999999949</v>
      </c>
      <c r="AE4" s="137">
        <f t="shared" si="1"/>
        <v>1.9062634370073051E-2</v>
      </c>
      <c r="AL4" s="233"/>
      <c r="AO4" s="233"/>
    </row>
    <row r="5" spans="1:42" x14ac:dyDescent="0.25">
      <c r="B5" s="73"/>
      <c r="C5" s="184"/>
      <c r="D5" s="239"/>
      <c r="E5" s="3"/>
      <c r="F5" s="3"/>
      <c r="G5" s="73"/>
      <c r="H5" s="184"/>
      <c r="I5" s="239"/>
      <c r="J5" s="3"/>
      <c r="K5" s="3"/>
      <c r="L5" s="4"/>
      <c r="O5" s="11" t="s">
        <v>67</v>
      </c>
      <c r="Q5" s="3">
        <f>Q4*Q2</f>
        <v>0</v>
      </c>
      <c r="T5" s="1"/>
      <c r="W5" s="122">
        <v>42794</v>
      </c>
      <c r="X5" s="41">
        <v>70.97</v>
      </c>
      <c r="Y5" s="41">
        <v>71.3</v>
      </c>
      <c r="Z5" s="41">
        <v>69.73</v>
      </c>
      <c r="AA5" s="41">
        <v>69.77</v>
      </c>
      <c r="AB5" s="103">
        <v>1329800</v>
      </c>
      <c r="AC5" s="9">
        <v>69.77</v>
      </c>
      <c r="AD5" s="2">
        <f t="shared" si="0"/>
        <v>1.5699999999999932</v>
      </c>
      <c r="AE5" s="137">
        <f t="shared" si="1"/>
        <v>-1.7738983528086782E-2</v>
      </c>
      <c r="AL5" s="233"/>
      <c r="AO5" s="233"/>
    </row>
    <row r="6" spans="1:42" x14ac:dyDescent="0.25">
      <c r="B6" s="73"/>
      <c r="C6" s="184"/>
      <c r="D6" s="239"/>
      <c r="E6" s="3"/>
      <c r="F6" s="3"/>
      <c r="G6" s="73"/>
      <c r="H6" s="184"/>
      <c r="I6" s="239"/>
      <c r="J6" s="3"/>
      <c r="K6" s="3"/>
      <c r="L6" s="4"/>
      <c r="O6" s="11" t="s">
        <v>64</v>
      </c>
      <c r="Q6" s="2">
        <f>Q3*Q2</f>
        <v>0</v>
      </c>
      <c r="W6" s="122">
        <v>42793</v>
      </c>
      <c r="X6" s="41">
        <v>70.430000000000007</v>
      </c>
      <c r="Y6" s="41">
        <v>71.180000000000007</v>
      </c>
      <c r="Z6" s="41">
        <v>69.94</v>
      </c>
      <c r="AA6" s="41">
        <v>71.03</v>
      </c>
      <c r="AB6" s="103">
        <v>1452900</v>
      </c>
      <c r="AC6" s="9">
        <v>71.03</v>
      </c>
      <c r="AD6" s="2">
        <f t="shared" si="0"/>
        <v>1.2400000000000091</v>
      </c>
      <c r="AE6" s="137">
        <f t="shared" si="1"/>
        <v>7.9466439619697571E-3</v>
      </c>
      <c r="AL6" s="233"/>
      <c r="AO6" s="233"/>
    </row>
    <row r="7" spans="1:42" x14ac:dyDescent="0.25">
      <c r="B7" s="73"/>
      <c r="C7" s="184"/>
      <c r="D7" s="239"/>
      <c r="E7" s="3"/>
      <c r="F7" s="3"/>
      <c r="G7" s="73"/>
      <c r="H7" s="184"/>
      <c r="I7" s="239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42790</v>
      </c>
      <c r="X7" s="41">
        <v>70.88</v>
      </c>
      <c r="Y7" s="41">
        <v>71.28</v>
      </c>
      <c r="Z7" s="41">
        <v>70.06</v>
      </c>
      <c r="AA7" s="41">
        <v>70.47</v>
      </c>
      <c r="AB7" s="103">
        <v>1555100</v>
      </c>
      <c r="AC7" s="9">
        <v>70.47</v>
      </c>
      <c r="AD7" s="2">
        <f t="shared" si="0"/>
        <v>1.2199999999999989</v>
      </c>
      <c r="AE7" s="137">
        <f t="shared" si="1"/>
        <v>-1.0113780025284402E-2</v>
      </c>
      <c r="AL7" s="233"/>
      <c r="AO7" s="233"/>
    </row>
    <row r="8" spans="1:42" x14ac:dyDescent="0.25">
      <c r="B8" s="73"/>
      <c r="C8" s="184"/>
      <c r="D8" s="239"/>
      <c r="E8" s="3"/>
      <c r="F8" s="3"/>
      <c r="G8" s="73"/>
      <c r="H8" s="184"/>
      <c r="I8" s="239"/>
      <c r="J8" s="3"/>
      <c r="K8" s="3"/>
      <c r="L8" s="4"/>
      <c r="O8" s="11" t="s">
        <v>183</v>
      </c>
      <c r="P8" s="34"/>
      <c r="Q8" s="2">
        <f>K18+M18-F18+Q2*Q4</f>
        <v>0</v>
      </c>
      <c r="R8" s="165"/>
      <c r="W8" s="122">
        <v>42789</v>
      </c>
      <c r="X8" s="41">
        <v>72.67</v>
      </c>
      <c r="Y8" s="41">
        <v>72.73</v>
      </c>
      <c r="Z8" s="41">
        <v>71.13</v>
      </c>
      <c r="AA8" s="41">
        <v>71.19</v>
      </c>
      <c r="AB8" s="103">
        <v>1180600</v>
      </c>
      <c r="AC8" s="9">
        <v>71.19</v>
      </c>
      <c r="AD8" s="2">
        <f t="shared" si="0"/>
        <v>1.6000000000000085</v>
      </c>
      <c r="AE8" s="137">
        <f t="shared" si="1"/>
        <v>-1.357904946653743E-2</v>
      </c>
      <c r="AL8" s="233"/>
      <c r="AO8" s="233"/>
    </row>
    <row r="9" spans="1:42" x14ac:dyDescent="0.25">
      <c r="O9" s="11" t="s">
        <v>213</v>
      </c>
      <c r="Q9" s="137">
        <f>IF(Q2=0, 0, Q8/Q6)</f>
        <v>0</v>
      </c>
      <c r="W9" s="122">
        <v>42788</v>
      </c>
      <c r="X9" s="41">
        <v>71.540000000000006</v>
      </c>
      <c r="Y9" s="41">
        <v>72.58</v>
      </c>
      <c r="Z9" s="41">
        <v>71.400000000000006</v>
      </c>
      <c r="AA9" s="41">
        <v>72.17</v>
      </c>
      <c r="AB9" s="103">
        <v>1583200</v>
      </c>
      <c r="AC9" s="9">
        <v>72.17</v>
      </c>
      <c r="AD9" s="2">
        <f t="shared" si="0"/>
        <v>1.1799999999999926</v>
      </c>
      <c r="AE9" s="137">
        <f t="shared" si="1"/>
        <v>2.9182879377434023E-3</v>
      </c>
      <c r="AL9" s="233"/>
      <c r="AO9" s="233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42787</v>
      </c>
      <c r="X10" s="41">
        <v>71.209999999999994</v>
      </c>
      <c r="Y10" s="41">
        <v>72</v>
      </c>
      <c r="Z10" s="41">
        <v>71.150000000000006</v>
      </c>
      <c r="AA10" s="41">
        <v>71.959999999999994</v>
      </c>
      <c r="AB10" s="103">
        <v>657800</v>
      </c>
      <c r="AC10" s="9">
        <v>71.959999999999994</v>
      </c>
      <c r="AD10" s="2">
        <f t="shared" si="0"/>
        <v>0.84999999999999432</v>
      </c>
      <c r="AE10" s="137">
        <f t="shared" si="1"/>
        <v>4.1864359475298762E-3</v>
      </c>
      <c r="AL10" s="233"/>
      <c r="AO10" s="233"/>
    </row>
    <row r="11" spans="1:42" x14ac:dyDescent="0.25">
      <c r="O11" s="11" t="s">
        <v>178</v>
      </c>
      <c r="P11" s="34"/>
      <c r="Q11" s="137">
        <f>IF(U58="N/A (N/A)", 0, VALUE(TRIM(CLEAN(MID(U58, FIND("(", U58)+1, 5)))))</f>
        <v>1.67E-2</v>
      </c>
      <c r="T11" s="11"/>
      <c r="W11" s="122">
        <v>42783</v>
      </c>
      <c r="X11" s="41">
        <v>71.3</v>
      </c>
      <c r="Y11" s="41">
        <v>71.66</v>
      </c>
      <c r="Z11" s="41">
        <v>71.16</v>
      </c>
      <c r="AA11" s="41">
        <v>71.66</v>
      </c>
      <c r="AB11" s="103">
        <v>558800</v>
      </c>
      <c r="AC11" s="9">
        <v>71.66</v>
      </c>
      <c r="AD11" s="2">
        <f t="shared" si="0"/>
        <v>0.5</v>
      </c>
      <c r="AE11" s="137">
        <f t="shared" si="1"/>
        <v>1.3974287311346867E-3</v>
      </c>
      <c r="AL11" s="233"/>
      <c r="AO11" s="233"/>
    </row>
    <row r="12" spans="1:42" x14ac:dyDescent="0.25">
      <c r="W12" s="122">
        <v>42782</v>
      </c>
      <c r="X12" s="41">
        <v>71.45</v>
      </c>
      <c r="Y12" s="41">
        <v>71.83</v>
      </c>
      <c r="Z12" s="41">
        <v>71.14</v>
      </c>
      <c r="AA12" s="41">
        <v>71.56</v>
      </c>
      <c r="AB12" s="103">
        <v>1219000</v>
      </c>
      <c r="AC12" s="9">
        <v>71.56</v>
      </c>
      <c r="AD12" s="2">
        <f t="shared" si="0"/>
        <v>0.68999999999999773</v>
      </c>
      <c r="AE12" s="137">
        <f t="shared" si="1"/>
        <v>9.7915792418534764E-4</v>
      </c>
      <c r="AL12" s="233"/>
      <c r="AO12" s="233"/>
    </row>
    <row r="13" spans="1:42" x14ac:dyDescent="0.25">
      <c r="W13" s="122">
        <v>42781</v>
      </c>
      <c r="X13" s="41">
        <v>71.19</v>
      </c>
      <c r="Y13" s="41">
        <v>71.59</v>
      </c>
      <c r="Z13" s="41">
        <v>70.88</v>
      </c>
      <c r="AA13" s="41">
        <v>71.489999999999995</v>
      </c>
      <c r="AB13" s="103">
        <v>1067500</v>
      </c>
      <c r="AC13" s="9">
        <v>71.489999999999995</v>
      </c>
      <c r="AD13" s="2">
        <f t="shared" si="0"/>
        <v>0.71000000000000796</v>
      </c>
      <c r="AE13" s="137">
        <f t="shared" si="1"/>
        <v>-5.5920592758296195E-4</v>
      </c>
    </row>
    <row r="14" spans="1:42" x14ac:dyDescent="0.25">
      <c r="W14" s="122">
        <v>42780</v>
      </c>
      <c r="X14" s="41">
        <v>71.319999999999993</v>
      </c>
      <c r="Y14" s="41">
        <v>71.55</v>
      </c>
      <c r="Z14" s="41">
        <v>71.06</v>
      </c>
      <c r="AA14" s="41">
        <v>71.53</v>
      </c>
      <c r="AB14" s="103">
        <v>643200</v>
      </c>
      <c r="AC14" s="9">
        <v>71.53</v>
      </c>
      <c r="AD14" s="2">
        <f t="shared" si="0"/>
        <v>0.48999999999999488</v>
      </c>
      <c r="AE14" s="137">
        <f t="shared" si="1"/>
        <v>6.9949636261879E-4</v>
      </c>
    </row>
    <row r="15" spans="1:42" x14ac:dyDescent="0.25">
      <c r="V15" s="2"/>
      <c r="W15" s="122">
        <v>42779</v>
      </c>
      <c r="X15" s="41">
        <v>70.790000000000006</v>
      </c>
      <c r="Y15" s="41">
        <v>71.5</v>
      </c>
      <c r="Z15" s="41">
        <v>70.63</v>
      </c>
      <c r="AA15" s="41">
        <v>71.48</v>
      </c>
      <c r="AB15" s="103">
        <v>701800</v>
      </c>
      <c r="AC15" s="9">
        <v>71.48</v>
      </c>
      <c r="AD15" s="2">
        <f t="shared" si="0"/>
        <v>0.87000000000000455</v>
      </c>
      <c r="AE15" s="137">
        <f t="shared" si="1"/>
        <v>1.3325772611284314E-2</v>
      </c>
      <c r="AL15" s="233"/>
      <c r="AO15" s="233"/>
      <c r="AP15" s="233"/>
    </row>
    <row r="16" spans="1:42" x14ac:dyDescent="0.25">
      <c r="V16" s="2"/>
      <c r="W16" s="122">
        <v>42776</v>
      </c>
      <c r="X16" s="41">
        <v>70.27</v>
      </c>
      <c r="Y16" s="41">
        <v>70.75</v>
      </c>
      <c r="Z16" s="41">
        <v>70.14</v>
      </c>
      <c r="AA16" s="41">
        <v>70.540000000000006</v>
      </c>
      <c r="AB16" s="103">
        <v>530400</v>
      </c>
      <c r="AC16" s="9">
        <v>70.540000000000006</v>
      </c>
      <c r="AD16" s="2">
        <f t="shared" si="0"/>
        <v>0.60999999999999943</v>
      </c>
      <c r="AE16" s="137">
        <f t="shared" si="1"/>
        <v>1.205164992826413E-2</v>
      </c>
    </row>
    <row r="17" spans="1:42" x14ac:dyDescent="0.25">
      <c r="V17" s="2"/>
      <c r="W17" s="122">
        <v>42775</v>
      </c>
      <c r="X17" s="41">
        <v>69.319999999999993</v>
      </c>
      <c r="Y17" s="41">
        <v>70.099999999999994</v>
      </c>
      <c r="Z17" s="41">
        <v>69.319999999999993</v>
      </c>
      <c r="AA17" s="41">
        <v>69.7</v>
      </c>
      <c r="AB17" s="103">
        <v>714700</v>
      </c>
      <c r="AC17" s="9">
        <v>69.7</v>
      </c>
      <c r="AD17" s="2">
        <f t="shared" si="0"/>
        <v>0.78000000000000114</v>
      </c>
      <c r="AE17" s="137">
        <f t="shared" si="1"/>
        <v>5.4818234275824107E-3</v>
      </c>
      <c r="AL17" s="233"/>
      <c r="AO17" s="233"/>
      <c r="AP17" s="233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42774</v>
      </c>
      <c r="X18" s="41">
        <v>69.19</v>
      </c>
      <c r="Y18" s="41">
        <v>69.41</v>
      </c>
      <c r="Z18" s="41">
        <v>68.400000000000006</v>
      </c>
      <c r="AA18" s="41">
        <v>69.319999999999993</v>
      </c>
      <c r="AB18" s="103">
        <v>675300</v>
      </c>
      <c r="AC18" s="9">
        <v>69.319999999999993</v>
      </c>
      <c r="AD18" s="2">
        <f t="shared" si="0"/>
        <v>1.0099999999999909</v>
      </c>
      <c r="AE18" s="137">
        <f t="shared" si="1"/>
        <v>3.1837916063675031E-3</v>
      </c>
    </row>
    <row r="19" spans="1:42" x14ac:dyDescent="0.25">
      <c r="B19" s="73"/>
      <c r="C19" s="4"/>
      <c r="D19" s="239"/>
      <c r="E19" s="3"/>
      <c r="F19" s="3"/>
      <c r="G19" s="73"/>
      <c r="H19" s="184"/>
      <c r="I19" s="239"/>
      <c r="J19" s="3"/>
      <c r="K19" s="3"/>
      <c r="L19" s="4"/>
      <c r="W19" s="122">
        <v>42773</v>
      </c>
      <c r="X19" s="41">
        <v>68.53</v>
      </c>
      <c r="Y19" s="41">
        <v>69.25</v>
      </c>
      <c r="Z19" s="41">
        <v>68.53</v>
      </c>
      <c r="AA19" s="41">
        <v>69.099999999999994</v>
      </c>
      <c r="AB19" s="103">
        <v>763500</v>
      </c>
      <c r="AC19" s="9">
        <v>69.099999999999994</v>
      </c>
      <c r="AD19" s="2">
        <f t="shared" si="0"/>
        <v>0.71999999999999886</v>
      </c>
      <c r="AE19" s="137">
        <f t="shared" si="1"/>
        <v>7.1418160617984228E-3</v>
      </c>
      <c r="AL19" s="233"/>
      <c r="AO19" s="233"/>
    </row>
    <row r="20" spans="1:42" x14ac:dyDescent="0.25">
      <c r="B20" s="73"/>
      <c r="C20" s="4"/>
      <c r="D20" s="239"/>
      <c r="E20" s="3"/>
      <c r="F20" s="3"/>
      <c r="G20" s="73"/>
      <c r="H20" s="184"/>
      <c r="I20" s="239"/>
      <c r="J20" s="3"/>
      <c r="K20" s="3"/>
      <c r="L20" s="4"/>
      <c r="W20" s="122">
        <v>42772</v>
      </c>
      <c r="X20" s="41">
        <v>68.989999999999995</v>
      </c>
      <c r="Y20" s="41">
        <v>69.17</v>
      </c>
      <c r="Z20" s="41">
        <v>68.27</v>
      </c>
      <c r="AA20" s="41">
        <v>68.61</v>
      </c>
      <c r="AB20" s="103">
        <v>785400</v>
      </c>
      <c r="AC20" s="9">
        <v>68.61</v>
      </c>
      <c r="AD20" s="2">
        <f t="shared" si="0"/>
        <v>0.90000000000000568</v>
      </c>
      <c r="AE20" s="137">
        <f t="shared" si="1"/>
        <v>-1.0242354298903522E-2</v>
      </c>
    </row>
    <row r="21" spans="1:42" x14ac:dyDescent="0.25">
      <c r="B21" s="73"/>
      <c r="C21" s="4"/>
      <c r="D21" s="239"/>
      <c r="E21" s="3"/>
      <c r="F21" s="3"/>
      <c r="G21" s="73"/>
      <c r="H21" s="184"/>
      <c r="I21" s="239"/>
      <c r="J21" s="3"/>
      <c r="K21" s="3"/>
      <c r="L21" s="4"/>
      <c r="W21" s="122">
        <v>42769</v>
      </c>
      <c r="X21" s="41">
        <v>69.25</v>
      </c>
      <c r="Y21" s="41">
        <v>69.72</v>
      </c>
      <c r="Z21" s="41">
        <v>68.849999999999994</v>
      </c>
      <c r="AA21" s="41">
        <v>69.319999999999993</v>
      </c>
      <c r="AB21" s="103">
        <v>937600</v>
      </c>
      <c r="AC21" s="9">
        <v>69.319999999999993</v>
      </c>
      <c r="AD21" s="2">
        <f t="shared" si="0"/>
        <v>0.87000000000000455</v>
      </c>
      <c r="AE21" s="137">
        <f t="shared" si="1"/>
        <v>5.8038305281484792E-3</v>
      </c>
    </row>
    <row r="22" spans="1:42" x14ac:dyDescent="0.25">
      <c r="B22" s="190" t="s">
        <v>114</v>
      </c>
      <c r="C22" s="190" t="s">
        <v>147</v>
      </c>
      <c r="D22" s="198" t="s">
        <v>146</v>
      </c>
      <c r="E22" s="194" t="s">
        <v>148</v>
      </c>
      <c r="F22" s="194" t="s">
        <v>65</v>
      </c>
      <c r="G22" s="228" t="s">
        <v>152</v>
      </c>
      <c r="H22" s="194" t="s">
        <v>88</v>
      </c>
      <c r="I22" s="240" t="s">
        <v>155</v>
      </c>
      <c r="J22" s="3"/>
      <c r="K22" s="3"/>
      <c r="L22" s="4"/>
      <c r="W22" s="122">
        <v>42768</v>
      </c>
      <c r="X22" s="41">
        <v>69.239999999999995</v>
      </c>
      <c r="Y22" s="41">
        <v>69.31</v>
      </c>
      <c r="Z22" s="41">
        <v>68.59</v>
      </c>
      <c r="AA22" s="41">
        <v>68.92</v>
      </c>
      <c r="AB22" s="103">
        <v>1273900</v>
      </c>
      <c r="AC22" s="9">
        <v>68.92</v>
      </c>
      <c r="AD22" s="2">
        <f t="shared" si="0"/>
        <v>0.71999999999999886</v>
      </c>
      <c r="AE22" s="137">
        <f t="shared" si="1"/>
        <v>-2.1717098595626094E-3</v>
      </c>
    </row>
    <row r="23" spans="1:42" x14ac:dyDescent="0.25">
      <c r="B23" s="192">
        <v>42375</v>
      </c>
      <c r="C23" s="10">
        <v>40</v>
      </c>
      <c r="D23" s="19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0">
        <f>(E23-D23)/D23</f>
        <v>-4.389312977099177E-3</v>
      </c>
      <c r="I23" s="40"/>
      <c r="J23" s="3"/>
      <c r="K23" s="3"/>
      <c r="L23" s="4"/>
      <c r="W23" s="122">
        <v>42767</v>
      </c>
      <c r="X23" s="41">
        <v>69.45</v>
      </c>
      <c r="Y23" s="41">
        <v>69.78</v>
      </c>
      <c r="Z23" s="41">
        <v>68.73</v>
      </c>
      <c r="AA23" s="41">
        <v>69.069999999999993</v>
      </c>
      <c r="AB23" s="103">
        <v>1300400</v>
      </c>
      <c r="AC23" s="9">
        <v>69.069999999999993</v>
      </c>
      <c r="AD23" s="2">
        <f t="shared" si="0"/>
        <v>1.0499999999999972</v>
      </c>
      <c r="AE23" s="137">
        <f t="shared" si="1"/>
        <v>-6.4729574223245656E-3</v>
      </c>
    </row>
    <row r="24" spans="1:42" x14ac:dyDescent="0.25">
      <c r="B24" s="192">
        <v>42403</v>
      </c>
      <c r="C24" s="10">
        <v>40</v>
      </c>
      <c r="D24" s="19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0">
        <f>(E24-D24)/D24</f>
        <v>1.736641221374053E-2</v>
      </c>
      <c r="I24" s="40"/>
      <c r="J24" s="3"/>
      <c r="K24" s="3"/>
      <c r="L24" s="4"/>
      <c r="W24" s="122">
        <v>42766</v>
      </c>
      <c r="X24" s="41">
        <v>69.95</v>
      </c>
      <c r="Y24" s="41">
        <v>70.319999999999993</v>
      </c>
      <c r="Z24" s="41">
        <v>69.38</v>
      </c>
      <c r="AA24" s="41">
        <v>69.52</v>
      </c>
      <c r="AB24" s="103">
        <v>1395200</v>
      </c>
      <c r="AC24" s="9">
        <v>69.52</v>
      </c>
      <c r="AD24" s="2">
        <f t="shared" si="0"/>
        <v>0.93999999999999773</v>
      </c>
      <c r="AE24" s="137">
        <f t="shared" si="1"/>
        <v>-3.5832019492618716E-3</v>
      </c>
    </row>
    <row r="25" spans="1:42" x14ac:dyDescent="0.25">
      <c r="B25" s="192">
        <v>42416</v>
      </c>
      <c r="C25" s="10">
        <v>0</v>
      </c>
      <c r="D25" s="199">
        <v>0</v>
      </c>
      <c r="E25" s="40">
        <v>0</v>
      </c>
      <c r="F25" s="40">
        <v>121.95</v>
      </c>
      <c r="G25" s="40"/>
      <c r="H25" s="231"/>
      <c r="I25" s="199"/>
      <c r="J25" s="3"/>
      <c r="K25" s="3"/>
      <c r="L25" s="4"/>
      <c r="W25" s="122">
        <v>42765</v>
      </c>
      <c r="X25" s="41">
        <v>69.92</v>
      </c>
      <c r="Y25" s="41">
        <v>70.16</v>
      </c>
      <c r="Z25" s="41">
        <v>69.28</v>
      </c>
      <c r="AA25" s="41">
        <v>69.77</v>
      </c>
      <c r="AB25" s="103">
        <v>891000</v>
      </c>
      <c r="AC25" s="9">
        <v>69.77</v>
      </c>
      <c r="AD25" s="2">
        <f t="shared" si="0"/>
        <v>0.87999999999999545</v>
      </c>
      <c r="AE25" s="137">
        <f t="shared" si="1"/>
        <v>-7.5391180654338363E-3</v>
      </c>
      <c r="AL25" s="233"/>
      <c r="AO25" s="233"/>
    </row>
    <row r="26" spans="1:42" x14ac:dyDescent="0.25">
      <c r="B26" s="192"/>
      <c r="C26" s="10"/>
      <c r="D26" s="199"/>
      <c r="E26" s="40"/>
      <c r="F26" s="40"/>
      <c r="G26" s="40"/>
      <c r="H26" s="231"/>
      <c r="I26" s="199"/>
      <c r="J26" s="3"/>
      <c r="K26" s="3"/>
      <c r="L26" s="4"/>
      <c r="W26" s="122">
        <v>42762</v>
      </c>
      <c r="X26" s="41">
        <v>70.25</v>
      </c>
      <c r="Y26" s="41">
        <v>70.75</v>
      </c>
      <c r="Z26" s="41">
        <v>69.989999999999995</v>
      </c>
      <c r="AA26" s="41">
        <v>70.3</v>
      </c>
      <c r="AB26" s="103">
        <v>756600</v>
      </c>
      <c r="AC26" s="9">
        <v>70.3</v>
      </c>
      <c r="AD26" s="2">
        <f t="shared" si="0"/>
        <v>0.76000000000000512</v>
      </c>
      <c r="AE26" s="137">
        <f t="shared" si="1"/>
        <v>2.4240695850563654E-3</v>
      </c>
    </row>
    <row r="27" spans="1:42" x14ac:dyDescent="0.25">
      <c r="B27" s="192"/>
      <c r="C27" s="10"/>
      <c r="D27" s="199"/>
      <c r="E27" s="40"/>
      <c r="F27" s="40"/>
      <c r="G27" s="40"/>
      <c r="H27" s="231"/>
      <c r="I27" s="199"/>
      <c r="J27" s="3"/>
      <c r="K27" s="3"/>
      <c r="L27" s="4"/>
      <c r="W27" s="122">
        <v>42761</v>
      </c>
      <c r="X27" s="41">
        <v>69.930000000000007</v>
      </c>
      <c r="Y27" s="41">
        <v>70.36</v>
      </c>
      <c r="Z27" s="41">
        <v>69.540000000000006</v>
      </c>
      <c r="AA27" s="41">
        <v>70.13</v>
      </c>
      <c r="AB27" s="103">
        <v>1287300</v>
      </c>
      <c r="AC27" s="9">
        <v>70.13</v>
      </c>
      <c r="AD27" s="2">
        <f t="shared" si="0"/>
        <v>0.81999999999999318</v>
      </c>
      <c r="AE27" s="137">
        <f t="shared" si="1"/>
        <v>2.0002857551078002E-3</v>
      </c>
      <c r="AL27" s="233"/>
      <c r="AO27" s="233"/>
    </row>
    <row r="28" spans="1:42" x14ac:dyDescent="0.25">
      <c r="B28" s="192"/>
      <c r="C28" s="10"/>
      <c r="D28" s="199"/>
      <c r="E28" s="40"/>
      <c r="F28" s="40"/>
      <c r="G28" s="40"/>
      <c r="H28" s="231"/>
      <c r="I28" s="199"/>
      <c r="J28" s="3"/>
      <c r="K28" s="3"/>
      <c r="L28" s="4"/>
      <c r="W28" s="122">
        <v>42760</v>
      </c>
      <c r="X28" s="41">
        <v>71.11</v>
      </c>
      <c r="Y28" s="41">
        <v>71.48</v>
      </c>
      <c r="Z28" s="41">
        <v>69.94</v>
      </c>
      <c r="AA28" s="41">
        <v>69.989999999999995</v>
      </c>
      <c r="AB28" s="103">
        <v>2645100</v>
      </c>
      <c r="AC28" s="9">
        <v>69.989999999999995</v>
      </c>
      <c r="AD28" s="2">
        <f t="shared" si="0"/>
        <v>1.5400000000000063</v>
      </c>
      <c r="AE28" s="137">
        <f t="shared" si="1"/>
        <v>-1.6026992830029507E-2</v>
      </c>
    </row>
    <row r="29" spans="1:42" x14ac:dyDescent="0.25">
      <c r="B29" s="192"/>
      <c r="C29" s="10"/>
      <c r="D29" s="199"/>
      <c r="E29" s="40"/>
      <c r="F29" s="40"/>
      <c r="G29" s="40"/>
      <c r="H29" s="231"/>
      <c r="I29" s="199"/>
      <c r="J29" s="3"/>
      <c r="K29" s="3"/>
      <c r="L29" s="4"/>
      <c r="W29" s="122">
        <v>42759</v>
      </c>
      <c r="X29" s="41">
        <v>70.45</v>
      </c>
      <c r="Y29" s="41">
        <v>71.41</v>
      </c>
      <c r="Z29" s="41">
        <v>70.25</v>
      </c>
      <c r="AA29" s="41">
        <v>71.13</v>
      </c>
      <c r="AB29" s="103">
        <v>2101900</v>
      </c>
      <c r="AC29" s="9">
        <v>71.13</v>
      </c>
      <c r="AD29" s="2">
        <f t="shared" si="0"/>
        <v>1.1599999999999966</v>
      </c>
      <c r="AE29" s="137">
        <f t="shared" si="1"/>
        <v>1.2094479225953192E-2</v>
      </c>
    </row>
    <row r="30" spans="1:42" x14ac:dyDescent="0.25">
      <c r="B30" s="192"/>
      <c r="C30" s="10"/>
      <c r="D30" s="199"/>
      <c r="E30" s="40"/>
      <c r="F30" s="40"/>
      <c r="G30" s="40"/>
      <c r="H30" s="231"/>
      <c r="I30" s="199"/>
      <c r="J30" s="3"/>
      <c r="K30" s="3"/>
      <c r="L30" s="4"/>
      <c r="W30" s="122">
        <v>42758</v>
      </c>
      <c r="X30" s="41">
        <v>69.7</v>
      </c>
      <c r="Y30" s="41">
        <v>70.47</v>
      </c>
      <c r="Z30" s="41">
        <v>69.38</v>
      </c>
      <c r="AA30" s="41">
        <v>70.28</v>
      </c>
      <c r="AB30" s="103">
        <v>984400</v>
      </c>
      <c r="AC30" s="9">
        <v>70.28</v>
      </c>
      <c r="AD30" s="2">
        <f t="shared" si="0"/>
        <v>1.0900000000000034</v>
      </c>
      <c r="AE30" s="137">
        <f t="shared" si="1"/>
        <v>2.2818026240729594E-3</v>
      </c>
    </row>
    <row r="31" spans="1:42" x14ac:dyDescent="0.25">
      <c r="B31" s="192"/>
      <c r="C31" s="10"/>
      <c r="D31" s="199"/>
      <c r="E31" s="40"/>
      <c r="F31" s="40"/>
      <c r="G31" s="40"/>
      <c r="H31" s="231"/>
      <c r="I31" s="199"/>
      <c r="Q31" s="2"/>
      <c r="W31" s="122">
        <v>42755</v>
      </c>
      <c r="X31" s="41">
        <v>69</v>
      </c>
      <c r="Y31" s="41">
        <v>70.19</v>
      </c>
      <c r="Z31" s="41">
        <v>68.89</v>
      </c>
      <c r="AA31" s="41">
        <v>70.12</v>
      </c>
      <c r="AB31" s="103">
        <v>1316800</v>
      </c>
      <c r="AC31" s="9">
        <v>70.12</v>
      </c>
      <c r="AD31" s="2">
        <f t="shared" si="0"/>
        <v>1.2999999999999972</v>
      </c>
      <c r="AE31" s="137">
        <f t="shared" si="1"/>
        <v>1.8889857599535098E-2</v>
      </c>
      <c r="AL31" s="233"/>
      <c r="AO31" s="233"/>
    </row>
    <row r="32" spans="1:42" x14ac:dyDescent="0.25">
      <c r="B32" s="192"/>
      <c r="C32" s="10"/>
      <c r="D32" s="199"/>
      <c r="E32" s="40"/>
      <c r="F32" s="40"/>
      <c r="G32" s="40"/>
      <c r="H32" s="231"/>
      <c r="I32" s="199"/>
      <c r="J32" s="3"/>
      <c r="K32" s="3"/>
      <c r="L32" s="4"/>
      <c r="Q32" s="2"/>
      <c r="W32" s="122">
        <v>42754</v>
      </c>
      <c r="X32" s="41">
        <v>70.41</v>
      </c>
      <c r="Y32" s="41">
        <v>70.41</v>
      </c>
      <c r="Z32" s="41">
        <v>68.680000000000007</v>
      </c>
      <c r="AA32" s="41">
        <v>68.819999999999993</v>
      </c>
      <c r="AB32" s="103">
        <v>2520300</v>
      </c>
      <c r="AC32" s="9">
        <v>68.819999999999993</v>
      </c>
      <c r="AD32" s="2">
        <f t="shared" si="0"/>
        <v>1.7299999999999898</v>
      </c>
      <c r="AE32" s="137">
        <f t="shared" si="1"/>
        <v>-1.3333333333333419E-2</v>
      </c>
    </row>
    <row r="33" spans="1:41" x14ac:dyDescent="0.25">
      <c r="B33" s="73"/>
      <c r="C33" s="4"/>
      <c r="D33" s="239"/>
      <c r="E33" s="3"/>
      <c r="F33" s="3"/>
      <c r="G33" s="3"/>
      <c r="H33" s="232"/>
      <c r="I33" s="239"/>
      <c r="J33" s="3"/>
      <c r="K33" s="3"/>
      <c r="L33" s="4"/>
      <c r="Q33" s="2"/>
      <c r="W33" s="122">
        <v>42753</v>
      </c>
      <c r="X33" s="41">
        <v>69.84</v>
      </c>
      <c r="Y33" s="41">
        <v>70.319999999999993</v>
      </c>
      <c r="Z33" s="41">
        <v>69.430000000000007</v>
      </c>
      <c r="AA33" s="41">
        <v>69.75</v>
      </c>
      <c r="AB33" s="103">
        <v>1339500</v>
      </c>
      <c r="AC33" s="9">
        <v>69.75</v>
      </c>
      <c r="AD33" s="2">
        <f t="shared" si="0"/>
        <v>0.88999999999998636</v>
      </c>
      <c r="AE33" s="137">
        <f t="shared" si="1"/>
        <v>-7.8236130867709308E-3</v>
      </c>
      <c r="AL33" s="233"/>
      <c r="AO33" s="233"/>
    </row>
    <row r="34" spans="1:41" x14ac:dyDescent="0.25">
      <c r="B34" s="73"/>
      <c r="C34" s="4"/>
      <c r="D34" s="239"/>
      <c r="E34" s="3"/>
      <c r="F34" s="3"/>
      <c r="G34" s="3"/>
      <c r="H34" s="232"/>
      <c r="I34" s="239"/>
      <c r="J34" s="3"/>
      <c r="K34" s="3"/>
      <c r="L34" s="4"/>
      <c r="W34" s="122">
        <v>42752</v>
      </c>
      <c r="X34" s="41">
        <v>70.989999999999995</v>
      </c>
      <c r="Y34" s="41">
        <v>71.569999999999993</v>
      </c>
      <c r="Z34" s="41">
        <v>70.14</v>
      </c>
      <c r="AA34" s="41">
        <v>70.3</v>
      </c>
      <c r="AB34" s="103">
        <v>1201000</v>
      </c>
      <c r="AC34" s="9">
        <v>70.3</v>
      </c>
      <c r="AD34" s="2">
        <f t="shared" si="0"/>
        <v>1.4299999999999926</v>
      </c>
      <c r="AE34" s="137">
        <f t="shared" si="1"/>
        <v>-9.8591549295774517E-3</v>
      </c>
    </row>
    <row r="35" spans="1:41" x14ac:dyDescent="0.25">
      <c r="B35" s="73"/>
      <c r="C35" s="4"/>
      <c r="D35" s="239"/>
      <c r="E35" s="3"/>
      <c r="F35" s="3"/>
      <c r="G35" s="3"/>
      <c r="H35" s="232"/>
      <c r="I35" s="239"/>
      <c r="J35" s="3"/>
      <c r="K35" s="3"/>
      <c r="L35" s="4"/>
      <c r="W35" s="122">
        <v>42748</v>
      </c>
      <c r="X35" s="41">
        <v>70.64</v>
      </c>
      <c r="Y35" s="41">
        <v>71.5</v>
      </c>
      <c r="Z35" s="41">
        <v>70.44</v>
      </c>
      <c r="AA35" s="41">
        <v>71</v>
      </c>
      <c r="AB35" s="103">
        <v>629600</v>
      </c>
      <c r="AC35" s="9">
        <v>71</v>
      </c>
      <c r="AD35" s="2">
        <f t="shared" si="0"/>
        <v>1.0600000000000023</v>
      </c>
      <c r="AE35" s="137">
        <f t="shared" si="1"/>
        <v>6.0932407538614175E-3</v>
      </c>
      <c r="AL35" s="233"/>
      <c r="AO35" s="233"/>
    </row>
    <row r="36" spans="1:41" x14ac:dyDescent="0.25">
      <c r="B36" s="73"/>
      <c r="C36" s="4"/>
      <c r="D36" s="239"/>
      <c r="E36" s="3"/>
      <c r="F36" s="3"/>
      <c r="G36" s="3"/>
      <c r="H36" s="232"/>
      <c r="I36" s="73"/>
      <c r="L36" t="s">
        <v>212</v>
      </c>
      <c r="M36" s="2">
        <f>K54+M54-F54</f>
        <v>121.94999999999982</v>
      </c>
      <c r="W36" s="122">
        <v>42747</v>
      </c>
      <c r="X36" s="41">
        <v>71.03</v>
      </c>
      <c r="Y36" s="41">
        <v>71.150000000000006</v>
      </c>
      <c r="Z36" s="41">
        <v>70.09</v>
      </c>
      <c r="AA36" s="41">
        <v>70.569999999999993</v>
      </c>
      <c r="AB36" s="103">
        <v>1208200</v>
      </c>
      <c r="AC36" s="9">
        <v>70.569999999999993</v>
      </c>
      <c r="AD36" s="2">
        <f t="shared" si="0"/>
        <v>1.0600000000000023</v>
      </c>
      <c r="AE36" s="137">
        <f t="shared" si="1"/>
        <v>9.9290780141836343E-4</v>
      </c>
    </row>
    <row r="37" spans="1:41" x14ac:dyDescent="0.25">
      <c r="A37" s="384" t="s">
        <v>1</v>
      </c>
      <c r="B37" s="384" t="s">
        <v>2</v>
      </c>
      <c r="C37" s="384" t="s">
        <v>4</v>
      </c>
      <c r="D37" s="385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5" t="s">
        <v>7</v>
      </c>
      <c r="J37" s="386" t="s">
        <v>95</v>
      </c>
      <c r="K37" s="386" t="s">
        <v>61</v>
      </c>
      <c r="L37" s="22" t="s">
        <v>37</v>
      </c>
      <c r="M37" s="22" t="s">
        <v>38</v>
      </c>
      <c r="W37" s="122">
        <v>42746</v>
      </c>
      <c r="X37" s="41">
        <v>69.400000000000006</v>
      </c>
      <c r="Y37" s="41">
        <v>70.67</v>
      </c>
      <c r="Z37" s="41">
        <v>69.209999999999994</v>
      </c>
      <c r="AA37" s="41">
        <v>70.5</v>
      </c>
      <c r="AB37" s="103">
        <v>891100</v>
      </c>
      <c r="AC37" s="9">
        <v>70.5</v>
      </c>
      <c r="AD37" s="2">
        <f t="shared" si="0"/>
        <v>1.460000000000008</v>
      </c>
      <c r="AE37" s="137">
        <f t="shared" si="1"/>
        <v>1.7462837350266991E-2</v>
      </c>
    </row>
    <row r="38" spans="1:41" x14ac:dyDescent="0.25">
      <c r="A38" s="387" t="s">
        <v>8</v>
      </c>
      <c r="B38" s="377">
        <v>42375</v>
      </c>
      <c r="C38" s="382">
        <v>40</v>
      </c>
      <c r="D38" s="383">
        <v>52.4</v>
      </c>
      <c r="E38" s="379">
        <v>0</v>
      </c>
      <c r="F38" s="379">
        <f>C38*D38+E38</f>
        <v>2096</v>
      </c>
      <c r="G38" s="377">
        <v>42416</v>
      </c>
      <c r="H38" s="382">
        <v>40</v>
      </c>
      <c r="I38" s="383">
        <v>55.45</v>
      </c>
      <c r="J38" s="379">
        <v>0.05</v>
      </c>
      <c r="K38" s="379">
        <f>H38*I38-J38</f>
        <v>2217.9499999999998</v>
      </c>
      <c r="L38" s="378"/>
      <c r="M38" s="378"/>
      <c r="W38" s="122">
        <v>42745</v>
      </c>
      <c r="X38" s="41">
        <v>68.94</v>
      </c>
      <c r="Y38" s="41">
        <v>69.73</v>
      </c>
      <c r="Z38" s="41">
        <v>68.89</v>
      </c>
      <c r="AA38" s="41">
        <v>69.290000000000006</v>
      </c>
      <c r="AB38" s="103">
        <v>757700</v>
      </c>
      <c r="AC38" s="9">
        <v>69.290000000000006</v>
      </c>
      <c r="AD38" s="2">
        <f t="shared" si="0"/>
        <v>0.84000000000000341</v>
      </c>
      <c r="AE38" s="137">
        <f t="shared" si="1"/>
        <v>7.5614366729679361E-3</v>
      </c>
    </row>
    <row r="39" spans="1:41" x14ac:dyDescent="0.25">
      <c r="A39" s="388"/>
      <c r="B39" s="377"/>
      <c r="C39" s="382"/>
      <c r="D39" s="383"/>
      <c r="E39" s="379"/>
      <c r="F39" s="379"/>
      <c r="G39" s="377"/>
      <c r="H39" s="382"/>
      <c r="I39" s="383"/>
      <c r="J39" s="379"/>
      <c r="K39" s="379"/>
      <c r="L39" s="378"/>
      <c r="M39" s="378"/>
      <c r="W39" s="122">
        <v>42744</v>
      </c>
      <c r="X39" s="41">
        <v>68.95</v>
      </c>
      <c r="Y39" s="41">
        <v>69.08</v>
      </c>
      <c r="Z39" s="41">
        <v>68.41</v>
      </c>
      <c r="AA39" s="41">
        <v>68.77</v>
      </c>
      <c r="AB39" s="103">
        <v>947500</v>
      </c>
      <c r="AC39" s="9">
        <v>68.77</v>
      </c>
      <c r="AD39" s="2">
        <f t="shared" si="0"/>
        <v>0.67000000000000171</v>
      </c>
      <c r="AE39" s="137">
        <f t="shared" si="1"/>
        <v>-5.0636574074075513E-3</v>
      </c>
    </row>
    <row r="40" spans="1:41" x14ac:dyDescent="0.25">
      <c r="A40" s="378"/>
      <c r="B40" s="377"/>
      <c r="C40" s="382"/>
      <c r="D40" s="383"/>
      <c r="E40" s="379"/>
      <c r="F40" s="379"/>
      <c r="G40" s="377"/>
      <c r="H40" s="382"/>
      <c r="I40" s="383"/>
      <c r="J40" s="379"/>
      <c r="K40" s="379"/>
      <c r="L40" s="378"/>
      <c r="M40" s="378"/>
      <c r="W40" s="122">
        <v>42741</v>
      </c>
      <c r="X40" s="41">
        <v>69.400000000000006</v>
      </c>
      <c r="Y40" s="41">
        <v>69.94</v>
      </c>
      <c r="Z40" s="41">
        <v>69.06</v>
      </c>
      <c r="AA40" s="41">
        <v>69.12</v>
      </c>
      <c r="AB40" s="103">
        <v>960800</v>
      </c>
      <c r="AC40" s="9">
        <v>69.12</v>
      </c>
      <c r="AD40" s="2">
        <f t="shared" si="0"/>
        <v>0.87999999999999545</v>
      </c>
      <c r="AE40" s="137">
        <f t="shared" si="1"/>
        <v>-4.7516198704103951E-3</v>
      </c>
    </row>
    <row r="41" spans="1:41" x14ac:dyDescent="0.25">
      <c r="A41" s="378"/>
      <c r="B41" s="377"/>
      <c r="C41" s="382"/>
      <c r="D41" s="383"/>
      <c r="E41" s="379"/>
      <c r="F41" s="379"/>
      <c r="G41" s="377"/>
      <c r="H41" s="382"/>
      <c r="I41" s="383"/>
      <c r="J41" s="379"/>
      <c r="K41" s="379"/>
      <c r="L41" s="378"/>
      <c r="M41" s="378"/>
      <c r="W41" s="122">
        <v>42740</v>
      </c>
      <c r="X41" s="41">
        <v>68.959999999999994</v>
      </c>
      <c r="Y41" s="41">
        <v>69.989999999999995</v>
      </c>
      <c r="Z41" s="41">
        <v>68.53</v>
      </c>
      <c r="AA41" s="41">
        <v>69.45</v>
      </c>
      <c r="AB41" s="103">
        <v>924200</v>
      </c>
      <c r="AC41" s="9">
        <v>69.45</v>
      </c>
      <c r="AD41" s="2">
        <f t="shared" si="0"/>
        <v>1.4599999999999937</v>
      </c>
      <c r="AE41" s="137">
        <f t="shared" si="1"/>
        <v>7.6900754497968293E-3</v>
      </c>
      <c r="AL41" s="233"/>
      <c r="AO41" s="233"/>
    </row>
    <row r="42" spans="1:41" ht="20.25" thickBot="1" x14ac:dyDescent="0.35">
      <c r="A42" s="378"/>
      <c r="B42" s="377"/>
      <c r="C42" s="382"/>
      <c r="D42" s="383"/>
      <c r="E42" s="379"/>
      <c r="F42" s="379"/>
      <c r="G42" s="377"/>
      <c r="H42" s="382"/>
      <c r="I42" s="383"/>
      <c r="J42" s="379"/>
      <c r="K42" s="379"/>
      <c r="L42" s="378"/>
      <c r="M42" s="378"/>
      <c r="O42" s="371" t="s">
        <v>78</v>
      </c>
      <c r="P42" s="371"/>
      <c r="T42" s="104" t="s">
        <v>92</v>
      </c>
      <c r="U42" s="108"/>
      <c r="W42" s="122">
        <v>42739</v>
      </c>
      <c r="X42" s="41">
        <v>68.47</v>
      </c>
      <c r="Y42" s="41">
        <v>69.06</v>
      </c>
      <c r="Z42" s="41">
        <v>68.13</v>
      </c>
      <c r="AA42" s="41">
        <v>68.92</v>
      </c>
      <c r="AB42" s="103">
        <v>1193700</v>
      </c>
      <c r="AC42" s="9">
        <v>68.92</v>
      </c>
      <c r="AD42" s="2">
        <f t="shared" si="0"/>
        <v>0.93000000000000682</v>
      </c>
      <c r="AE42" s="137">
        <f t="shared" si="1"/>
        <v>2.3311061618411344E-2</v>
      </c>
    </row>
    <row r="43" spans="1:41" ht="15.75" thickTop="1" x14ac:dyDescent="0.25">
      <c r="A43" s="378"/>
      <c r="B43" s="377"/>
      <c r="C43" s="382"/>
      <c r="D43" s="383"/>
      <c r="E43" s="379"/>
      <c r="F43" s="379"/>
      <c r="G43" s="377"/>
      <c r="H43" s="382"/>
      <c r="I43" s="383"/>
      <c r="J43" s="379"/>
      <c r="K43" s="379"/>
      <c r="L43" s="378"/>
      <c r="M43" s="378"/>
      <c r="O43" s="82">
        <v>1.1000000000000001</v>
      </c>
      <c r="P43" s="82">
        <f t="shared" ref="P43:P63" si="2">O43*$Q$4</f>
        <v>79.584999999999994</v>
      </c>
      <c r="T43" s="138" t="s">
        <v>98</v>
      </c>
      <c r="U43" s="139">
        <v>70.94</v>
      </c>
      <c r="W43" s="122">
        <v>42738</v>
      </c>
      <c r="X43" s="41">
        <v>67.709999999999994</v>
      </c>
      <c r="Y43" s="41">
        <v>68.430000000000007</v>
      </c>
      <c r="Z43" s="41">
        <v>67.08</v>
      </c>
      <c r="AA43" s="41">
        <v>67.349999999999994</v>
      </c>
      <c r="AB43" s="103">
        <v>764400</v>
      </c>
      <c r="AC43" s="9">
        <v>67.349999999999994</v>
      </c>
      <c r="AD43" s="2">
        <f t="shared" si="0"/>
        <v>1.3500000000000085</v>
      </c>
      <c r="AE43" s="137">
        <f t="shared" si="1"/>
        <v>-7.4183976261144036E-4</v>
      </c>
    </row>
    <row r="44" spans="1:41" x14ac:dyDescent="0.25">
      <c r="A44" s="378"/>
      <c r="B44" s="377"/>
      <c r="C44" s="382"/>
      <c r="D44" s="383"/>
      <c r="E44" s="379"/>
      <c r="F44" s="379"/>
      <c r="G44" s="377"/>
      <c r="H44" s="382"/>
      <c r="I44" s="383"/>
      <c r="J44" s="379"/>
      <c r="K44" s="379"/>
      <c r="L44" s="378"/>
      <c r="M44" s="378"/>
      <c r="O44" s="82">
        <v>1.0900000000000001</v>
      </c>
      <c r="P44" s="82">
        <f t="shared" si="2"/>
        <v>78.861500000000007</v>
      </c>
      <c r="T44" s="107" t="s">
        <v>99</v>
      </c>
      <c r="U44" s="105">
        <v>70.849999999999994</v>
      </c>
      <c r="W44" s="122">
        <v>42734</v>
      </c>
      <c r="X44" s="41">
        <v>68.150000000000006</v>
      </c>
      <c r="Y44" s="41">
        <v>68.37</v>
      </c>
      <c r="Z44" s="41">
        <v>67.180000000000007</v>
      </c>
      <c r="AA44" s="41">
        <v>67.400000000000006</v>
      </c>
      <c r="AB44" s="103">
        <v>526400</v>
      </c>
      <c r="AC44" s="9">
        <v>67.400000000000006</v>
      </c>
      <c r="AD44" s="2">
        <f t="shared" si="0"/>
        <v>1.1899999999999977</v>
      </c>
      <c r="AE44" s="137">
        <f t="shared" si="1"/>
        <v>-8.6777467274598008E-3</v>
      </c>
    </row>
    <row r="45" spans="1:41" x14ac:dyDescent="0.25">
      <c r="A45" s="378"/>
      <c r="B45" s="378"/>
      <c r="C45" s="378"/>
      <c r="D45" s="383"/>
      <c r="E45" s="379"/>
      <c r="F45" s="379"/>
      <c r="G45" s="378"/>
      <c r="H45" s="378"/>
      <c r="I45" s="383"/>
      <c r="J45" s="379"/>
      <c r="K45" s="379"/>
      <c r="L45" s="378"/>
      <c r="M45" s="378"/>
      <c r="O45" s="82">
        <v>1.08</v>
      </c>
      <c r="P45" s="82">
        <f t="shared" si="2"/>
        <v>78.138000000000005</v>
      </c>
      <c r="Q45" s="2"/>
      <c r="T45" s="107" t="s">
        <v>100</v>
      </c>
      <c r="U45" s="105" t="s">
        <v>129</v>
      </c>
      <c r="W45" s="122">
        <v>42733</v>
      </c>
      <c r="X45" s="41">
        <v>68.02</v>
      </c>
      <c r="Y45" s="41">
        <v>68.17</v>
      </c>
      <c r="Z45" s="41">
        <v>67.739999999999995</v>
      </c>
      <c r="AA45" s="41">
        <v>67.989999999999995</v>
      </c>
      <c r="AB45" s="103">
        <v>496100</v>
      </c>
      <c r="AC45" s="9">
        <v>67.989999999999995</v>
      </c>
      <c r="AD45" s="2">
        <f t="shared" si="0"/>
        <v>0.43000000000000682</v>
      </c>
      <c r="AE45" s="137">
        <f t="shared" si="1"/>
        <v>5.0258684405024567E-3</v>
      </c>
      <c r="AL45" s="233"/>
      <c r="AO45" s="233"/>
    </row>
    <row r="46" spans="1:41" x14ac:dyDescent="0.25">
      <c r="A46" s="378"/>
      <c r="B46" s="378"/>
      <c r="C46" s="378"/>
      <c r="D46" s="383"/>
      <c r="E46" s="379"/>
      <c r="F46" s="379"/>
      <c r="G46" s="378"/>
      <c r="H46" s="378"/>
      <c r="I46" s="383"/>
      <c r="J46" s="379"/>
      <c r="K46" s="379"/>
      <c r="L46" s="378"/>
      <c r="M46" s="378"/>
      <c r="O46" s="82">
        <v>1.07</v>
      </c>
      <c r="P46" s="82">
        <f t="shared" si="2"/>
        <v>77.414500000000004</v>
      </c>
      <c r="Q46" s="2"/>
      <c r="T46" s="107" t="s">
        <v>101</v>
      </c>
      <c r="U46" s="105" t="s">
        <v>129</v>
      </c>
      <c r="W46" s="122">
        <v>42732</v>
      </c>
      <c r="X46" s="41">
        <v>67.47</v>
      </c>
      <c r="Y46" s="41">
        <v>68.459999999999994</v>
      </c>
      <c r="Z46" s="41">
        <v>67.33</v>
      </c>
      <c r="AA46" s="41">
        <v>67.650000000000006</v>
      </c>
      <c r="AB46" s="103">
        <v>734600</v>
      </c>
      <c r="AC46" s="9">
        <v>67.650000000000006</v>
      </c>
      <c r="AD46" s="2">
        <f t="shared" si="0"/>
        <v>1.1299999999999955</v>
      </c>
      <c r="AE46" s="137">
        <f t="shared" si="1"/>
        <v>-1.6233766233766378E-3</v>
      </c>
    </row>
    <row r="47" spans="1:41" x14ac:dyDescent="0.25">
      <c r="A47" s="378"/>
      <c r="B47" s="378"/>
      <c r="C47" s="378"/>
      <c r="D47" s="383"/>
      <c r="E47" s="379"/>
      <c r="F47" s="379"/>
      <c r="G47" s="378"/>
      <c r="H47" s="378"/>
      <c r="I47" s="383"/>
      <c r="J47" s="379"/>
      <c r="K47" s="379"/>
      <c r="L47" s="378"/>
      <c r="M47" s="378"/>
      <c r="O47" s="82">
        <v>1.06</v>
      </c>
      <c r="P47" s="82">
        <f t="shared" si="2"/>
        <v>76.691000000000003</v>
      </c>
      <c r="Q47" s="2"/>
      <c r="T47" s="107" t="s">
        <v>102</v>
      </c>
      <c r="U47" s="105">
        <v>70.06</v>
      </c>
      <c r="W47" s="122">
        <v>42731</v>
      </c>
      <c r="X47" s="41">
        <v>67.790000000000006</v>
      </c>
      <c r="Y47" s="41">
        <v>67.930000000000007</v>
      </c>
      <c r="Z47" s="41">
        <v>67.599999999999994</v>
      </c>
      <c r="AA47" s="41">
        <v>67.760000000000005</v>
      </c>
      <c r="AB47" s="103">
        <v>260600</v>
      </c>
      <c r="AC47" s="9">
        <v>67.760000000000005</v>
      </c>
      <c r="AD47" s="2">
        <f t="shared" si="0"/>
        <v>0.33000000000001251</v>
      </c>
      <c r="AE47" s="137">
        <f t="shared" si="1"/>
        <v>2.2186067149829736E-3</v>
      </c>
    </row>
    <row r="48" spans="1:41" x14ac:dyDescent="0.25">
      <c r="A48" s="378"/>
      <c r="B48" s="378"/>
      <c r="C48" s="378"/>
      <c r="D48" s="383"/>
      <c r="E48" s="379"/>
      <c r="F48" s="379"/>
      <c r="G48" s="378"/>
      <c r="H48" s="378"/>
      <c r="I48" s="383"/>
      <c r="J48" s="379"/>
      <c r="K48" s="379"/>
      <c r="L48" s="378"/>
      <c r="M48" s="378"/>
      <c r="O48" s="82">
        <v>1.05</v>
      </c>
      <c r="P48" s="82">
        <f t="shared" si="2"/>
        <v>75.967500000000001</v>
      </c>
      <c r="Q48" s="2"/>
      <c r="T48" s="107" t="s">
        <v>103</v>
      </c>
      <c r="U48" s="105">
        <v>1.18781</v>
      </c>
      <c r="W48" s="122">
        <v>42727</v>
      </c>
      <c r="X48" s="41">
        <v>67.739999999999995</v>
      </c>
      <c r="Y48" s="41">
        <v>67.86</v>
      </c>
      <c r="Z48" s="41">
        <v>67.400000000000006</v>
      </c>
      <c r="AA48" s="41">
        <v>67.61</v>
      </c>
      <c r="AB48" s="103">
        <v>412200</v>
      </c>
      <c r="AC48" s="9">
        <v>67.61</v>
      </c>
      <c r="AD48" s="2">
        <f t="shared" si="0"/>
        <v>0.45999999999999375</v>
      </c>
      <c r="AE48" s="137">
        <f t="shared" si="1"/>
        <v>-2.5081144880495509E-3</v>
      </c>
    </row>
    <row r="49" spans="1:42" x14ac:dyDescent="0.25">
      <c r="A49" s="378"/>
      <c r="B49" s="378"/>
      <c r="C49" s="378"/>
      <c r="D49" s="383"/>
      <c r="E49" s="379"/>
      <c r="F49" s="379"/>
      <c r="G49" s="378"/>
      <c r="H49" s="378"/>
      <c r="I49" s="383"/>
      <c r="J49" s="379"/>
      <c r="K49" s="379"/>
      <c r="L49" s="378"/>
      <c r="M49" s="378"/>
      <c r="O49" s="82">
        <v>1.04</v>
      </c>
      <c r="P49" s="82">
        <f t="shared" si="2"/>
        <v>75.244</v>
      </c>
      <c r="Q49" s="2"/>
      <c r="T49" s="107" t="s">
        <v>104</v>
      </c>
      <c r="U49" s="105" t="s">
        <v>129</v>
      </c>
      <c r="W49" s="122">
        <v>42726</v>
      </c>
      <c r="X49" s="41">
        <v>67.78</v>
      </c>
      <c r="Y49" s="41">
        <v>68.010000000000005</v>
      </c>
      <c r="Z49" s="41">
        <v>67.459999999999994</v>
      </c>
      <c r="AA49" s="41">
        <v>67.78</v>
      </c>
      <c r="AB49" s="103">
        <v>460300</v>
      </c>
      <c r="AC49" s="9">
        <v>67.78</v>
      </c>
      <c r="AD49" s="2">
        <f t="shared" si="0"/>
        <v>0.55000000000001137</v>
      </c>
      <c r="AE49" s="137">
        <f t="shared" si="1"/>
        <v>-3.2352941176470029E-3</v>
      </c>
    </row>
    <row r="50" spans="1:42" x14ac:dyDescent="0.25">
      <c r="A50" s="378"/>
      <c r="B50" s="378"/>
      <c r="C50" s="378"/>
      <c r="D50" s="383"/>
      <c r="E50" s="379"/>
      <c r="F50" s="379"/>
      <c r="G50" s="378"/>
      <c r="H50" s="378"/>
      <c r="I50" s="383"/>
      <c r="J50" s="379"/>
      <c r="K50" s="379"/>
      <c r="L50" s="378"/>
      <c r="M50" s="378"/>
      <c r="O50" s="82">
        <v>1.03</v>
      </c>
      <c r="P50" s="82">
        <f t="shared" si="2"/>
        <v>74.520499999999998</v>
      </c>
      <c r="Q50" s="2"/>
      <c r="T50" s="107"/>
      <c r="U50" s="105"/>
      <c r="W50" s="122">
        <v>42725</v>
      </c>
      <c r="X50" s="41">
        <v>67.94</v>
      </c>
      <c r="Y50" s="41">
        <v>68.44</v>
      </c>
      <c r="Z50" s="41">
        <v>67.69</v>
      </c>
      <c r="AA50" s="41">
        <v>68</v>
      </c>
      <c r="AB50" s="103">
        <v>614300</v>
      </c>
      <c r="AC50" s="9">
        <v>68</v>
      </c>
      <c r="AD50" s="2">
        <f t="shared" si="0"/>
        <v>0.75</v>
      </c>
      <c r="AE50" s="137">
        <f t="shared" si="1"/>
        <v>1.4727540500736325E-3</v>
      </c>
    </row>
    <row r="51" spans="1:42" x14ac:dyDescent="0.25">
      <c r="A51" s="378"/>
      <c r="B51" s="378"/>
      <c r="C51" s="378"/>
      <c r="D51" s="383"/>
      <c r="E51" s="379"/>
      <c r="F51" s="379"/>
      <c r="G51" s="378"/>
      <c r="H51" s="378"/>
      <c r="I51" s="383"/>
      <c r="J51" s="379"/>
      <c r="K51" s="379"/>
      <c r="L51" s="378"/>
      <c r="M51" s="378"/>
      <c r="O51" s="82">
        <v>1.02</v>
      </c>
      <c r="P51" s="82">
        <f t="shared" si="2"/>
        <v>73.796999999999997</v>
      </c>
      <c r="Q51" s="2"/>
      <c r="T51" s="107" t="s">
        <v>105</v>
      </c>
      <c r="U51" s="105" t="s">
        <v>676</v>
      </c>
      <c r="W51" s="122">
        <v>42724</v>
      </c>
      <c r="X51" s="41">
        <v>67.319999999999993</v>
      </c>
      <c r="Y51" s="41">
        <v>68.319999999999993</v>
      </c>
      <c r="Z51" s="41">
        <v>67.3</v>
      </c>
      <c r="AA51" s="41">
        <v>67.900000000000006</v>
      </c>
      <c r="AB51" s="103">
        <v>1344400</v>
      </c>
      <c r="AC51" s="9">
        <v>67.900000000000006</v>
      </c>
      <c r="AD51" s="2">
        <f t="shared" si="0"/>
        <v>1.019999999999996</v>
      </c>
      <c r="AE51" s="137">
        <f>AC51/AC52-1</f>
        <v>1.1922503725782629E-2</v>
      </c>
    </row>
    <row r="52" spans="1:42" x14ac:dyDescent="0.25">
      <c r="A52" s="378"/>
      <c r="B52" s="378"/>
      <c r="C52" s="378"/>
      <c r="D52" s="383"/>
      <c r="E52" s="379"/>
      <c r="F52" s="379"/>
      <c r="G52" s="378"/>
      <c r="H52" s="378"/>
      <c r="I52" s="383"/>
      <c r="J52" s="379"/>
      <c r="K52" s="379"/>
      <c r="L52" s="378"/>
      <c r="M52" s="378"/>
      <c r="O52" s="82">
        <v>1.01</v>
      </c>
      <c r="P52" s="82">
        <f t="shared" si="2"/>
        <v>73.073499999999996</v>
      </c>
      <c r="Q52" s="2"/>
      <c r="T52" s="107" t="s">
        <v>106</v>
      </c>
      <c r="U52" s="105" t="s">
        <v>514</v>
      </c>
      <c r="W52" s="122">
        <v>42723</v>
      </c>
      <c r="X52" s="41">
        <v>66.92</v>
      </c>
      <c r="Y52" s="41">
        <v>67.290000000000006</v>
      </c>
      <c r="Z52" s="41">
        <v>66.78</v>
      </c>
      <c r="AA52" s="41">
        <v>67.099999999999994</v>
      </c>
      <c r="AB52" s="103">
        <v>481800</v>
      </c>
      <c r="AC52" s="9">
        <v>67.099999999999994</v>
      </c>
      <c r="AD52" s="2">
        <f t="shared" si="0"/>
        <v>0.51000000000000512</v>
      </c>
      <c r="AE52" s="137">
        <f t="shared" si="1"/>
        <v>2.9815146094214207E-4</v>
      </c>
    </row>
    <row r="53" spans="1:42" x14ac:dyDescent="0.25">
      <c r="A53" s="378"/>
      <c r="B53" s="378"/>
      <c r="C53" s="378"/>
      <c r="D53" s="383"/>
      <c r="E53" s="379"/>
      <c r="F53" s="379"/>
      <c r="G53" s="378"/>
      <c r="H53" s="378"/>
      <c r="I53" s="383"/>
      <c r="J53" s="379"/>
      <c r="K53" s="379"/>
      <c r="L53" s="378"/>
      <c r="M53" s="378"/>
      <c r="O53" s="82">
        <v>1</v>
      </c>
      <c r="P53" s="82">
        <f t="shared" si="2"/>
        <v>72.349999999999994</v>
      </c>
      <c r="Q53" s="2"/>
      <c r="T53" s="107" t="s">
        <v>107</v>
      </c>
      <c r="U53" s="106">
        <v>975986</v>
      </c>
      <c r="W53" s="122">
        <v>42720</v>
      </c>
      <c r="X53" s="41">
        <v>67.13</v>
      </c>
      <c r="Y53" s="41">
        <v>67.569999999999993</v>
      </c>
      <c r="Z53" s="41">
        <v>66.77</v>
      </c>
      <c r="AA53" s="41">
        <v>67.08</v>
      </c>
      <c r="AB53" s="103">
        <v>744600</v>
      </c>
      <c r="AC53" s="9">
        <v>67.08</v>
      </c>
      <c r="AD53" s="2">
        <f t="shared" si="0"/>
        <v>0.79999999999999716</v>
      </c>
      <c r="AE53" s="137">
        <f t="shared" si="1"/>
        <v>-5.9594755661507293E-4</v>
      </c>
      <c r="AL53" s="233"/>
      <c r="AO53" s="233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71.626499999999993</v>
      </c>
      <c r="Q54" s="2"/>
      <c r="T54" s="107" t="s">
        <v>110</v>
      </c>
      <c r="U54" s="106">
        <v>1087130</v>
      </c>
      <c r="W54" s="122">
        <v>42719</v>
      </c>
      <c r="X54" s="41">
        <v>66.64</v>
      </c>
      <c r="Y54" s="41">
        <v>67.709999999999994</v>
      </c>
      <c r="Z54" s="41">
        <v>66.58</v>
      </c>
      <c r="AA54" s="41">
        <v>67.12</v>
      </c>
      <c r="AB54" s="103">
        <v>978200</v>
      </c>
      <c r="AC54" s="9">
        <v>67.12</v>
      </c>
      <c r="AD54" s="2">
        <f t="shared" si="0"/>
        <v>1.1299999999999955</v>
      </c>
      <c r="AE54" s="137">
        <f t="shared" si="1"/>
        <v>2.5392083644510954E-3</v>
      </c>
    </row>
    <row r="55" spans="1:42" x14ac:dyDescent="0.25">
      <c r="O55" s="82">
        <v>0.98</v>
      </c>
      <c r="P55" s="82">
        <f t="shared" si="2"/>
        <v>70.902999999999992</v>
      </c>
      <c r="T55" s="107" t="s">
        <v>108</v>
      </c>
      <c r="U55" s="105" t="s">
        <v>677</v>
      </c>
      <c r="W55" s="122">
        <v>42718</v>
      </c>
      <c r="X55" s="41">
        <v>68.44</v>
      </c>
      <c r="Y55" s="41">
        <v>68.75</v>
      </c>
      <c r="Z55" s="41">
        <v>66.849999999999994</v>
      </c>
      <c r="AA55" s="41">
        <v>66.95</v>
      </c>
      <c r="AB55" s="103">
        <v>988900</v>
      </c>
      <c r="AC55" s="9">
        <v>66.95</v>
      </c>
      <c r="AD55" s="2">
        <f t="shared" si="0"/>
        <v>1.9000000000000057</v>
      </c>
      <c r="AE55" s="137">
        <f t="shared" si="1"/>
        <v>-2.1627940961566616E-2</v>
      </c>
    </row>
    <row r="56" spans="1:42" x14ac:dyDescent="0.25">
      <c r="O56" s="82">
        <v>0.97</v>
      </c>
      <c r="P56" s="82">
        <f t="shared" si="2"/>
        <v>70.17949999999999</v>
      </c>
      <c r="T56" s="107" t="s">
        <v>111</v>
      </c>
      <c r="U56" s="105">
        <v>20.23</v>
      </c>
      <c r="W56" s="122">
        <v>42717</v>
      </c>
      <c r="X56" s="41">
        <v>68.42</v>
      </c>
      <c r="Y56" s="41">
        <v>69.319999999999993</v>
      </c>
      <c r="Z56" s="41">
        <v>68.260000000000005</v>
      </c>
      <c r="AA56" s="41">
        <v>68.430000000000007</v>
      </c>
      <c r="AB56" s="103">
        <v>1328200</v>
      </c>
      <c r="AC56" s="9">
        <v>68.430000000000007</v>
      </c>
      <c r="AD56" s="2">
        <f t="shared" si="0"/>
        <v>1.0599999999999881</v>
      </c>
      <c r="AE56" s="137">
        <f t="shared" si="1"/>
        <v>3.961267605633978E-3</v>
      </c>
    </row>
    <row r="57" spans="1:42" x14ac:dyDescent="0.25">
      <c r="O57" s="82">
        <v>0.96</v>
      </c>
      <c r="P57" s="82">
        <f t="shared" si="2"/>
        <v>69.455999999999989</v>
      </c>
      <c r="T57" s="107" t="s">
        <v>112</v>
      </c>
      <c r="U57" s="105">
        <v>3.56</v>
      </c>
      <c r="W57" s="122">
        <v>42716</v>
      </c>
      <c r="X57" s="41">
        <v>67.400000000000006</v>
      </c>
      <c r="Y57" s="41">
        <v>68.510000000000005</v>
      </c>
      <c r="Z57" s="41">
        <v>66.89</v>
      </c>
      <c r="AA57" s="41">
        <v>68.16</v>
      </c>
      <c r="AB57" s="103">
        <v>4194800</v>
      </c>
      <c r="AC57" s="9">
        <v>68.16</v>
      </c>
      <c r="AD57" s="2">
        <f t="shared" si="0"/>
        <v>1.6200000000000045</v>
      </c>
      <c r="AE57" s="137">
        <f t="shared" si="1"/>
        <v>-1.9562715765247374E-2</v>
      </c>
      <c r="AL57" s="233"/>
      <c r="AO57" s="233"/>
    </row>
    <row r="58" spans="1:42" x14ac:dyDescent="0.25">
      <c r="O58" s="82">
        <v>0.95</v>
      </c>
      <c r="P58" s="82">
        <f t="shared" si="2"/>
        <v>68.732499999999987</v>
      </c>
      <c r="T58" s="107" t="s">
        <v>109</v>
      </c>
      <c r="U58" s="105" t="s">
        <v>349</v>
      </c>
      <c r="W58" s="122">
        <v>42713</v>
      </c>
      <c r="X58" s="41">
        <v>69.58</v>
      </c>
      <c r="Y58" s="41">
        <v>70</v>
      </c>
      <c r="Z58" s="41">
        <v>69.25</v>
      </c>
      <c r="AA58" s="41">
        <v>69.52</v>
      </c>
      <c r="AB58" s="103">
        <v>1701000</v>
      </c>
      <c r="AC58" s="9">
        <v>69.52</v>
      </c>
      <c r="AD58" s="2">
        <f t="shared" si="0"/>
        <v>0.75</v>
      </c>
      <c r="AE58" s="137">
        <f t="shared" si="1"/>
        <v>-4.7244094488189115E-3</v>
      </c>
    </row>
    <row r="59" spans="1:42" x14ac:dyDescent="0.25">
      <c r="O59" s="82">
        <v>0.94</v>
      </c>
      <c r="P59" s="82">
        <f t="shared" si="2"/>
        <v>68.008999999999986</v>
      </c>
      <c r="W59" s="122">
        <v>42712</v>
      </c>
      <c r="X59" s="41">
        <v>69.19</v>
      </c>
      <c r="Y59" s="41">
        <v>69.92</v>
      </c>
      <c r="Z59" s="41">
        <v>68.56</v>
      </c>
      <c r="AA59" s="41">
        <v>69.849999999999994</v>
      </c>
      <c r="AB59" s="103">
        <v>984400</v>
      </c>
      <c r="AC59" s="9">
        <v>69.849999999999994</v>
      </c>
      <c r="AD59" s="2">
        <f t="shared" si="0"/>
        <v>1.3599999999999994</v>
      </c>
      <c r="AE59" s="137">
        <f t="shared" si="1"/>
        <v>9.9768652400231694E-3</v>
      </c>
      <c r="AL59" s="233"/>
    </row>
    <row r="60" spans="1:42" x14ac:dyDescent="0.25">
      <c r="O60" s="82">
        <v>0.93</v>
      </c>
      <c r="P60" s="82">
        <f t="shared" si="2"/>
        <v>67.285499999999999</v>
      </c>
      <c r="W60" s="122">
        <v>42711</v>
      </c>
      <c r="X60" s="41">
        <v>67.459999999999994</v>
      </c>
      <c r="Y60" s="41">
        <v>69.22</v>
      </c>
      <c r="Z60" s="41">
        <v>67.33</v>
      </c>
      <c r="AA60" s="41">
        <v>69.16</v>
      </c>
      <c r="AB60" s="103">
        <v>1006100</v>
      </c>
      <c r="AC60" s="9">
        <v>69.16</v>
      </c>
      <c r="AD60" s="2">
        <f t="shared" si="0"/>
        <v>1.8900000000000006</v>
      </c>
      <c r="AE60" s="137" t="e">
        <f t="shared" si="1"/>
        <v>#DIV/0!</v>
      </c>
    </row>
    <row r="61" spans="1:42" x14ac:dyDescent="0.25">
      <c r="O61" s="82">
        <v>0.92</v>
      </c>
      <c r="P61" s="82">
        <f t="shared" si="2"/>
        <v>66.561999999999998</v>
      </c>
      <c r="W61" s="122">
        <v>42711</v>
      </c>
      <c r="X61" s="41" t="s">
        <v>331</v>
      </c>
      <c r="Y61" s="41"/>
      <c r="Z61" s="41"/>
      <c r="AA61" s="41"/>
      <c r="AB61" s="103"/>
      <c r="AC61" s="9"/>
      <c r="AD61" s="2">
        <f t="shared" si="0"/>
        <v>0</v>
      </c>
      <c r="AE61" s="137">
        <f t="shared" si="1"/>
        <v>-1</v>
      </c>
      <c r="AL61" s="233"/>
      <c r="AO61" s="233"/>
    </row>
    <row r="62" spans="1:42" x14ac:dyDescent="0.25">
      <c r="O62" s="82">
        <v>0.91</v>
      </c>
      <c r="P62" s="82">
        <f t="shared" si="2"/>
        <v>65.838499999999996</v>
      </c>
      <c r="W62" s="122">
        <v>42710</v>
      </c>
      <c r="X62" s="41">
        <v>67.5</v>
      </c>
      <c r="Y62" s="41">
        <v>67.849999999999994</v>
      </c>
      <c r="Z62" s="41">
        <v>67.22</v>
      </c>
      <c r="AA62" s="41">
        <v>67.7</v>
      </c>
      <c r="AB62" s="103">
        <v>814800</v>
      </c>
      <c r="AC62" s="9">
        <v>67.42</v>
      </c>
      <c r="AD62" s="2">
        <f t="shared" si="0"/>
        <v>0.62999999999999545</v>
      </c>
      <c r="AE62" s="137">
        <f t="shared" si="1"/>
        <v>-1.0371906949177001E-3</v>
      </c>
    </row>
    <row r="63" spans="1:42" x14ac:dyDescent="0.25">
      <c r="O63" s="82">
        <v>0.9</v>
      </c>
      <c r="P63" s="82">
        <f t="shared" si="2"/>
        <v>65.114999999999995</v>
      </c>
      <c r="W63" s="122">
        <v>42709</v>
      </c>
      <c r="X63" s="41">
        <v>67.650000000000006</v>
      </c>
      <c r="Y63" s="41">
        <v>68.209999999999994</v>
      </c>
      <c r="Z63" s="41">
        <v>67.48</v>
      </c>
      <c r="AA63" s="41">
        <v>67.77</v>
      </c>
      <c r="AB63" s="103">
        <v>778100</v>
      </c>
      <c r="AC63" s="9">
        <v>67.489999999999995</v>
      </c>
      <c r="AD63" s="2">
        <f t="shared" si="0"/>
        <v>0.72999999999998977</v>
      </c>
      <c r="AE63" s="137">
        <f t="shared" si="1"/>
        <v>4.6144685918425576E-3</v>
      </c>
      <c r="AL63" s="233"/>
      <c r="AO63" s="233"/>
      <c r="AP63" s="233"/>
    </row>
    <row r="64" spans="1:42" x14ac:dyDescent="0.25">
      <c r="W64" s="122">
        <v>42706</v>
      </c>
      <c r="X64" s="41">
        <v>67.78</v>
      </c>
      <c r="Y64" s="41">
        <v>68.06</v>
      </c>
      <c r="Z64" s="41">
        <v>67.239999999999995</v>
      </c>
      <c r="AA64" s="41">
        <v>67.459999999999994</v>
      </c>
      <c r="AB64" s="103">
        <v>697000</v>
      </c>
      <c r="AC64" s="9">
        <v>67.180000000000007</v>
      </c>
      <c r="AD64" s="2">
        <f t="shared" si="0"/>
        <v>0.82000000000000739</v>
      </c>
      <c r="AE64" s="137">
        <f t="shared" si="1"/>
        <v>-4.2982066103451899E-3</v>
      </c>
    </row>
    <row r="65" spans="23:41" x14ac:dyDescent="0.25">
      <c r="W65" s="122">
        <v>42705</v>
      </c>
      <c r="X65" s="41">
        <v>66.819999999999993</v>
      </c>
      <c r="Y65" s="41">
        <v>67.87</v>
      </c>
      <c r="Z65" s="41">
        <v>66.819999999999993</v>
      </c>
      <c r="AA65" s="41">
        <v>67.75</v>
      </c>
      <c r="AB65" s="103">
        <v>861700</v>
      </c>
      <c r="AC65" s="9">
        <v>67.47</v>
      </c>
      <c r="AD65" s="2">
        <f t="shared" si="0"/>
        <v>1.0500000000000114</v>
      </c>
      <c r="AE65" s="137">
        <f t="shared" si="1"/>
        <v>1.3824192336589158E-2</v>
      </c>
      <c r="AL65" s="233"/>
      <c r="AO65" s="233"/>
    </row>
    <row r="66" spans="23:41" x14ac:dyDescent="0.25">
      <c r="W66" s="122">
        <v>42704</v>
      </c>
      <c r="X66" s="41">
        <v>67.11</v>
      </c>
      <c r="Y66" s="41">
        <v>67.599999999999994</v>
      </c>
      <c r="Z66" s="41">
        <v>66.790000000000006</v>
      </c>
      <c r="AA66" s="41">
        <v>66.83</v>
      </c>
      <c r="AB66" s="103">
        <v>1552700</v>
      </c>
      <c r="AC66" s="9">
        <v>66.55</v>
      </c>
      <c r="AD66" s="2">
        <f t="shared" si="0"/>
        <v>0.80999999999998806</v>
      </c>
      <c r="AE66" s="137">
        <f t="shared" si="1"/>
        <v>6.0141332130503322E-4</v>
      </c>
    </row>
    <row r="67" spans="23:41" x14ac:dyDescent="0.25">
      <c r="W67" s="122">
        <v>42703</v>
      </c>
      <c r="X67" s="41">
        <v>66.45</v>
      </c>
      <c r="Y67" s="41">
        <v>67.17</v>
      </c>
      <c r="Z67" s="41">
        <v>66.22</v>
      </c>
      <c r="AA67" s="41">
        <v>66.790000000000006</v>
      </c>
      <c r="AB67" s="103">
        <v>737900</v>
      </c>
      <c r="AC67" s="9">
        <v>66.510000000000005</v>
      </c>
      <c r="AD67" s="2">
        <f>Y67-Z67</f>
        <v>0.95000000000000284</v>
      </c>
      <c r="AE67" s="137">
        <f>AC67/AC68-1</f>
        <v>2.4114544084401501E-3</v>
      </c>
      <c r="AL67" s="233"/>
    </row>
    <row r="68" spans="23:41" x14ac:dyDescent="0.25">
      <c r="W68" s="122">
        <v>42702</v>
      </c>
      <c r="X68" s="41">
        <v>66.75</v>
      </c>
      <c r="Y68" s="41">
        <v>66.91</v>
      </c>
      <c r="Z68" s="41">
        <v>66.42</v>
      </c>
      <c r="AA68" s="41">
        <v>66.63</v>
      </c>
      <c r="AB68" s="103">
        <v>867200</v>
      </c>
      <c r="AC68" s="9">
        <v>66.349999999999994</v>
      </c>
      <c r="AD68" s="2">
        <f>Y68-Z68</f>
        <v>0.48999999999999488</v>
      </c>
      <c r="AE68" s="137" t="e">
        <f>AC68/AC69-1</f>
        <v>#DIV/0!</v>
      </c>
    </row>
    <row r="69" spans="23:41" x14ac:dyDescent="0.25">
      <c r="W69" s="30" t="s">
        <v>121</v>
      </c>
      <c r="AB69" s="234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89" priority="39">
      <formula>Q12&gt;0</formula>
    </cfRule>
    <cfRule type="expression" dxfId="48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87" priority="33">
      <formula>F25&gt;0</formula>
    </cfRule>
    <cfRule type="expression" dxfId="486" priority="34">
      <formula>F25&lt;0</formula>
    </cfRule>
  </conditionalFormatting>
  <conditionalFormatting sqref="F30">
    <cfRule type="expression" dxfId="485" priority="31">
      <formula>F30&gt;0</formula>
    </cfRule>
    <cfRule type="expression" dxfId="484" priority="32">
      <formula>F30&lt;0</formula>
    </cfRule>
  </conditionalFormatting>
  <conditionalFormatting sqref="F31">
    <cfRule type="expression" dxfId="483" priority="29">
      <formula>F31&gt;0</formula>
    </cfRule>
    <cfRule type="expression" dxfId="482" priority="30">
      <formula>F31&lt;0</formula>
    </cfRule>
  </conditionalFormatting>
  <conditionalFormatting sqref="F32:F34">
    <cfRule type="expression" dxfId="481" priority="27">
      <formula>F32&gt;0</formula>
    </cfRule>
    <cfRule type="expression" dxfId="480" priority="28">
      <formula>F32&lt;0</formula>
    </cfRule>
  </conditionalFormatting>
  <conditionalFormatting sqref="H25:H29">
    <cfRule type="expression" dxfId="479" priority="25">
      <formula>H25&gt;0</formula>
    </cfRule>
    <cfRule type="expression" dxfId="478" priority="26">
      <formula>H25&lt;0</formula>
    </cfRule>
  </conditionalFormatting>
  <conditionalFormatting sqref="H30">
    <cfRule type="expression" dxfId="477" priority="23">
      <formula>H30&gt;0</formula>
    </cfRule>
    <cfRule type="expression" dxfId="476" priority="24">
      <formula>H30&lt;0</formula>
    </cfRule>
  </conditionalFormatting>
  <conditionalFormatting sqref="H31">
    <cfRule type="expression" dxfId="475" priority="21">
      <formula>H31&gt;0</formula>
    </cfRule>
    <cfRule type="expression" dxfId="474" priority="22">
      <formula>H31&lt;0</formula>
    </cfRule>
  </conditionalFormatting>
  <conditionalFormatting sqref="H32:H34">
    <cfRule type="expression" dxfId="473" priority="19">
      <formula>H32&gt;0</formula>
    </cfRule>
    <cfRule type="expression" dxfId="472" priority="20">
      <formula>H32&lt;0</formula>
    </cfRule>
  </conditionalFormatting>
  <conditionalFormatting sqref="F35">
    <cfRule type="expression" dxfId="471" priority="17">
      <formula>F35&gt;0</formula>
    </cfRule>
    <cfRule type="expression" dxfId="470" priority="18">
      <formula>F35&lt;0</formula>
    </cfRule>
  </conditionalFormatting>
  <conditionalFormatting sqref="H35">
    <cfRule type="expression" dxfId="469" priority="15">
      <formula>H35&gt;0</formula>
    </cfRule>
    <cfRule type="expression" dxfId="468" priority="16">
      <formula>H35&lt;0</formula>
    </cfRule>
  </conditionalFormatting>
  <conditionalFormatting sqref="F36">
    <cfRule type="expression" dxfId="467" priority="13">
      <formula>F36&gt;0</formula>
    </cfRule>
    <cfRule type="expression" dxfId="466" priority="14">
      <formula>F36&lt;0</formula>
    </cfRule>
  </conditionalFormatting>
  <conditionalFormatting sqref="H36">
    <cfRule type="expression" dxfId="465" priority="11">
      <formula>H36&gt;0</formula>
    </cfRule>
    <cfRule type="expression" dxfId="464" priority="12">
      <formula>H36&lt;0</formula>
    </cfRule>
  </conditionalFormatting>
  <conditionalFormatting sqref="H23:H24">
    <cfRule type="expression" dxfId="463" priority="5">
      <formula>H23&gt;0</formula>
    </cfRule>
    <cfRule type="expression" dxfId="462" priority="6">
      <formula>H23&lt;0</formula>
    </cfRule>
  </conditionalFormatting>
  <conditionalFormatting sqref="F23:F24">
    <cfRule type="expression" dxfId="461" priority="7">
      <formula>F23&gt;0</formula>
    </cfRule>
    <cfRule type="expression" dxfId="460" priority="8">
      <formula>F23&lt;0</formula>
    </cfRule>
  </conditionalFormatting>
  <conditionalFormatting sqref="Q7">
    <cfRule type="expression" dxfId="459" priority="3">
      <formula>Q7&gt;0</formula>
    </cfRule>
    <cfRule type="expression" dxfId="458" priority="4">
      <formula>Q7&lt;0</formula>
    </cfRule>
  </conditionalFormatting>
  <conditionalFormatting sqref="Q8">
    <cfRule type="expression" dxfId="457" priority="1">
      <formula>Q8&gt;0</formula>
    </cfRule>
    <cfRule type="expression" dxfId="45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3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454">
        <v>42767</v>
      </c>
      <c r="C2" s="7">
        <v>40</v>
      </c>
      <c r="D2" s="44">
        <v>56.68</v>
      </c>
      <c r="E2" s="44">
        <v>0</v>
      </c>
      <c r="F2" s="44">
        <f>C2*D2+E2</f>
        <v>2267.1999999999998</v>
      </c>
      <c r="G2" s="454">
        <v>42803</v>
      </c>
      <c r="H2" s="7">
        <v>40</v>
      </c>
      <c r="I2" s="44">
        <v>58.65</v>
      </c>
      <c r="J2" s="44">
        <v>0.05</v>
      </c>
      <c r="K2" s="44">
        <f>H2*I2-J2</f>
        <v>2345.9499999999998</v>
      </c>
      <c r="L2" s="73">
        <v>42795</v>
      </c>
      <c r="M2" s="44">
        <v>30.4</v>
      </c>
      <c r="O2" s="11" t="s">
        <v>57</v>
      </c>
      <c r="Q2">
        <f>C18-H18</f>
        <v>40</v>
      </c>
      <c r="T2" s="84">
        <v>42566</v>
      </c>
      <c r="U2" t="s">
        <v>241</v>
      </c>
      <c r="W2" s="93">
        <v>42797</v>
      </c>
      <c r="X2" s="10">
        <v>58.85</v>
      </c>
      <c r="Y2" s="10">
        <v>59.24</v>
      </c>
      <c r="Z2" s="10">
        <v>58.67</v>
      </c>
      <c r="AA2" s="10">
        <v>58.89</v>
      </c>
      <c r="AB2" s="94">
        <v>14740000</v>
      </c>
      <c r="AC2" s="10">
        <v>58.89</v>
      </c>
      <c r="AD2" s="2">
        <f>Y2-Z2</f>
        <v>0.57000000000000028</v>
      </c>
      <c r="AE2" s="137">
        <f>AC2/AC3-1</f>
        <v>3.0659172202349705E-3</v>
      </c>
    </row>
    <row r="3" spans="1:40" x14ac:dyDescent="0.25">
      <c r="A3" s="23" t="s">
        <v>71</v>
      </c>
      <c r="B3" s="498">
        <v>42782</v>
      </c>
      <c r="C3" s="4">
        <v>40</v>
      </c>
      <c r="D3" s="3">
        <v>57.85</v>
      </c>
      <c r="E3" s="3">
        <v>0</v>
      </c>
      <c r="F3" s="3">
        <f>C3*D3+E3</f>
        <v>2314</v>
      </c>
      <c r="G3" s="119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55.121249999999996</v>
      </c>
      <c r="T3" s="120"/>
      <c r="W3" s="93">
        <v>42796</v>
      </c>
      <c r="X3" s="10">
        <v>59.78</v>
      </c>
      <c r="Y3" s="10">
        <v>59.79</v>
      </c>
      <c r="Z3" s="10">
        <v>58.57</v>
      </c>
      <c r="AA3" s="10">
        <v>58.71</v>
      </c>
      <c r="AB3" s="94">
        <v>17528000</v>
      </c>
      <c r="AC3" s="10">
        <v>58.71</v>
      </c>
      <c r="AD3" s="2">
        <f>Y3-Z3</f>
        <v>1.2199999999999989</v>
      </c>
      <c r="AE3" s="137">
        <f>AC3/AC4-1</f>
        <v>-1.7076845806127561E-2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73"/>
      <c r="M4" s="4"/>
      <c r="O4" s="11" t="s">
        <v>66</v>
      </c>
      <c r="Q4" s="55">
        <v>58.85</v>
      </c>
      <c r="R4" s="499">
        <v>2.5999999999999999E-3</v>
      </c>
      <c r="T4" s="120"/>
      <c r="W4" s="93">
        <v>42795</v>
      </c>
      <c r="X4" s="10">
        <v>59.11</v>
      </c>
      <c r="Y4" s="10">
        <v>59.99</v>
      </c>
      <c r="Z4" s="10">
        <v>59.09</v>
      </c>
      <c r="AA4" s="10">
        <v>59.73</v>
      </c>
      <c r="AB4" s="94">
        <v>25824300</v>
      </c>
      <c r="AC4" s="10">
        <v>59.73</v>
      </c>
      <c r="AD4" s="2">
        <f t="shared" ref="AD4:AD67" si="0">Y4-Z4</f>
        <v>0.89999999999999858</v>
      </c>
      <c r="AE4" s="137">
        <f t="shared" ref="AE4:AE66" si="1">AC4/AC5-1</f>
        <v>3.1962681409813287E-2</v>
      </c>
      <c r="AK4" s="233"/>
      <c r="AN4" s="233"/>
    </row>
    <row r="5" spans="1:40" x14ac:dyDescent="0.25">
      <c r="B5" s="4"/>
      <c r="C5" s="4"/>
      <c r="D5" s="3"/>
      <c r="E5" s="3"/>
      <c r="F5" s="3"/>
      <c r="G5" s="73"/>
      <c r="H5" s="390"/>
      <c r="I5" s="74"/>
      <c r="J5" s="74"/>
      <c r="K5" s="74"/>
      <c r="L5" s="4"/>
      <c r="M5" s="4"/>
      <c r="O5" s="11" t="s">
        <v>67</v>
      </c>
      <c r="Q5" s="3">
        <f>Q4*Q2</f>
        <v>2354</v>
      </c>
      <c r="W5" s="93">
        <v>42794</v>
      </c>
      <c r="X5" s="10">
        <v>57.99</v>
      </c>
      <c r="Y5" s="10">
        <v>58.32</v>
      </c>
      <c r="Z5" s="10">
        <v>57.73</v>
      </c>
      <c r="AA5" s="10">
        <v>57.88</v>
      </c>
      <c r="AB5" s="94">
        <v>15459100</v>
      </c>
      <c r="AC5" s="10">
        <v>57.88</v>
      </c>
      <c r="AD5" s="2">
        <f t="shared" si="0"/>
        <v>0.59000000000000341</v>
      </c>
      <c r="AE5" s="137">
        <f t="shared" si="1"/>
        <v>-3.1002411298656218E-3</v>
      </c>
      <c r="AK5" s="233"/>
      <c r="AN5" s="233"/>
    </row>
    <row r="6" spans="1:40" x14ac:dyDescent="0.25">
      <c r="G6" s="73"/>
      <c r="H6" s="184"/>
      <c r="I6" s="3"/>
      <c r="J6" s="3"/>
      <c r="K6" s="74"/>
      <c r="L6" s="4"/>
      <c r="M6" s="4"/>
      <c r="O6" s="11" t="s">
        <v>64</v>
      </c>
      <c r="Q6" s="2">
        <f>Q3*Q2</f>
        <v>2204.85</v>
      </c>
      <c r="W6" s="93">
        <v>42793</v>
      </c>
      <c r="X6" s="10">
        <v>57.81</v>
      </c>
      <c r="Y6" s="10">
        <v>58.25</v>
      </c>
      <c r="Z6" s="10">
        <v>57.71</v>
      </c>
      <c r="AA6" s="10">
        <v>58.06</v>
      </c>
      <c r="AB6" s="94">
        <v>10075400</v>
      </c>
      <c r="AC6" s="10">
        <v>58.06</v>
      </c>
      <c r="AD6" s="2">
        <f t="shared" si="0"/>
        <v>0.53999999999999915</v>
      </c>
      <c r="AE6" s="137">
        <f t="shared" si="1"/>
        <v>4.3245113302197158E-3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74"/>
      <c r="L7" s="4"/>
      <c r="M7" s="4"/>
      <c r="O7" s="11" t="s">
        <v>181</v>
      </c>
      <c r="P7"/>
      <c r="Q7" s="2">
        <f>Q10+Q8</f>
        <v>1244.8800000000033</v>
      </c>
      <c r="R7" s="30">
        <v>42814</v>
      </c>
      <c r="T7" s="84"/>
      <c r="W7" s="93">
        <v>42790</v>
      </c>
      <c r="X7" s="10">
        <v>57.7</v>
      </c>
      <c r="Y7" s="10">
        <v>57.91</v>
      </c>
      <c r="Z7" s="10">
        <v>57.32</v>
      </c>
      <c r="AA7" s="10">
        <v>57.81</v>
      </c>
      <c r="AB7" s="94">
        <v>16261900</v>
      </c>
      <c r="AC7" s="10">
        <v>57.81</v>
      </c>
      <c r="AD7" s="2">
        <f t="shared" si="0"/>
        <v>0.58999999999999631</v>
      </c>
      <c r="AE7" s="137">
        <f t="shared" si="1"/>
        <v>-1.1625918960506021E-2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Q8" s="2">
        <f>K18+M18-F18+Q2*Q4</f>
        <v>149.15000000000009</v>
      </c>
      <c r="W8" s="93">
        <v>42789</v>
      </c>
      <c r="X8" s="10">
        <v>58.43</v>
      </c>
      <c r="Y8" s="10">
        <v>58.59</v>
      </c>
      <c r="Z8" s="10">
        <v>58.06</v>
      </c>
      <c r="AA8" s="10">
        <v>58.49</v>
      </c>
      <c r="AB8" s="94">
        <v>13807900</v>
      </c>
      <c r="AC8" s="10">
        <v>58.49</v>
      </c>
      <c r="AD8" s="2">
        <f t="shared" si="0"/>
        <v>0.53000000000000114</v>
      </c>
      <c r="AE8" s="137">
        <f t="shared" si="1"/>
        <v>2.2275531185744768E-3</v>
      </c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P9"/>
      <c r="Q9" s="137">
        <f>IF(Q2=0, 0, Q8/Q6)</f>
        <v>6.7646325146835426E-2</v>
      </c>
      <c r="W9" s="93">
        <v>42788</v>
      </c>
      <c r="X9" s="10">
        <v>58</v>
      </c>
      <c r="Y9" s="10">
        <v>58.59</v>
      </c>
      <c r="Z9" s="10">
        <v>58</v>
      </c>
      <c r="AA9" s="10">
        <v>58.36</v>
      </c>
      <c r="AB9" s="94">
        <v>12323900</v>
      </c>
      <c r="AC9" s="10">
        <v>58.36</v>
      </c>
      <c r="AD9" s="2">
        <f t="shared" si="0"/>
        <v>0.59000000000000341</v>
      </c>
      <c r="AE9" s="137">
        <f t="shared" si="1"/>
        <v>1.8884120171673846E-3</v>
      </c>
      <c r="AK9" s="233"/>
      <c r="AN9" s="233"/>
    </row>
    <row r="10" spans="1:40" x14ac:dyDescent="0.25">
      <c r="B10" s="73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Q10" s="2">
        <f>M106</f>
        <v>1095.7300000000032</v>
      </c>
      <c r="W10" s="93">
        <v>42787</v>
      </c>
      <c r="X10" s="10">
        <v>58.25</v>
      </c>
      <c r="Y10" s="10">
        <v>58.63</v>
      </c>
      <c r="Z10" s="10">
        <v>57.9</v>
      </c>
      <c r="AA10" s="10">
        <v>58.25</v>
      </c>
      <c r="AB10" s="94">
        <v>16329300</v>
      </c>
      <c r="AC10" s="10">
        <v>58.25</v>
      </c>
      <c r="AD10" s="2">
        <f t="shared" si="0"/>
        <v>0.73000000000000398</v>
      </c>
      <c r="AE10" s="137">
        <f t="shared" si="1"/>
        <v>2.7543467033912528E-3</v>
      </c>
    </row>
    <row r="11" spans="1:40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Q11" s="137">
        <f>IF(U58="N/A (N/A)", 0, VALUE(TRIM(CLEAN(MID(U58, FIND("(", U58)+1, 5)))))</f>
        <v>2.5899999999999999E-2</v>
      </c>
      <c r="W11" s="93">
        <v>42783</v>
      </c>
      <c r="X11" s="10">
        <v>57.58</v>
      </c>
      <c r="Y11" s="10">
        <v>58.1</v>
      </c>
      <c r="Z11" s="10">
        <v>57.45</v>
      </c>
      <c r="AA11" s="10">
        <v>58.09</v>
      </c>
      <c r="AB11" s="94">
        <v>15765900</v>
      </c>
      <c r="AC11" s="10">
        <v>58.09</v>
      </c>
      <c r="AD11" s="2">
        <f t="shared" si="0"/>
        <v>0.64999999999999858</v>
      </c>
      <c r="AE11" s="137">
        <f t="shared" si="1"/>
        <v>-5.1617343427379225E-4</v>
      </c>
      <c r="AK11" s="233"/>
      <c r="AN11" s="233"/>
    </row>
    <row r="12" spans="1:40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93">
        <v>42782</v>
      </c>
      <c r="X12" s="10">
        <v>58.36</v>
      </c>
      <c r="Y12" s="10">
        <v>58.36</v>
      </c>
      <c r="Z12" s="10">
        <v>57.51</v>
      </c>
      <c r="AA12" s="10">
        <v>58.12</v>
      </c>
      <c r="AB12" s="94">
        <v>14626300</v>
      </c>
      <c r="AC12" s="10">
        <v>58.12</v>
      </c>
      <c r="AD12" s="2">
        <f t="shared" si="0"/>
        <v>0.85000000000000142</v>
      </c>
      <c r="AE12" s="137">
        <f t="shared" si="1"/>
        <v>-7.3441502988897955E-3</v>
      </c>
    </row>
    <row r="13" spans="1:40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93">
        <v>42781</v>
      </c>
      <c r="X13" s="10">
        <v>58.1</v>
      </c>
      <c r="Y13" s="10">
        <v>59.01</v>
      </c>
      <c r="Z13" s="10">
        <v>57.89</v>
      </c>
      <c r="AA13" s="10">
        <v>58.55</v>
      </c>
      <c r="AB13" s="94">
        <v>25281300</v>
      </c>
      <c r="AC13" s="10">
        <v>58.55</v>
      </c>
      <c r="AD13" s="2">
        <f t="shared" si="0"/>
        <v>1.1199999999999974</v>
      </c>
      <c r="AE13" s="137">
        <f t="shared" si="1"/>
        <v>9.830976198689223E-3</v>
      </c>
      <c r="AK13" s="233"/>
      <c r="AN13" s="233"/>
    </row>
    <row r="14" spans="1:40" x14ac:dyDescent="0.25">
      <c r="B14" s="4"/>
      <c r="C14" s="4"/>
      <c r="D14" s="3"/>
      <c r="E14" s="3"/>
      <c r="F14" s="3"/>
      <c r="G14" s="4"/>
      <c r="H14" s="184"/>
      <c r="I14" s="3"/>
      <c r="J14" s="3"/>
      <c r="K14" s="3"/>
      <c r="L14" s="4"/>
      <c r="M14" s="4"/>
      <c r="T14" s="83"/>
      <c r="U14" s="11"/>
      <c r="W14" s="93">
        <v>42780</v>
      </c>
      <c r="X14" s="10">
        <v>57.13</v>
      </c>
      <c r="Y14" s="10">
        <v>58</v>
      </c>
      <c r="Z14" s="10">
        <v>56.99</v>
      </c>
      <c r="AA14" s="10">
        <v>57.98</v>
      </c>
      <c r="AB14" s="94">
        <v>16268200</v>
      </c>
      <c r="AC14" s="10">
        <v>57.98</v>
      </c>
      <c r="AD14" s="2">
        <f t="shared" si="0"/>
        <v>1.009999999999998</v>
      </c>
      <c r="AE14" s="137">
        <f t="shared" si="1"/>
        <v>1.5767344078486234E-2</v>
      </c>
    </row>
    <row r="15" spans="1:40" x14ac:dyDescent="0.25">
      <c r="H15" s="71"/>
      <c r="W15" s="93">
        <v>42779</v>
      </c>
      <c r="X15" s="10">
        <v>57.07</v>
      </c>
      <c r="Y15" s="10">
        <v>57.51</v>
      </c>
      <c r="Z15" s="10">
        <v>56.89</v>
      </c>
      <c r="AA15" s="10">
        <v>57.08</v>
      </c>
      <c r="AB15" s="94">
        <v>15325300</v>
      </c>
      <c r="AC15" s="10">
        <v>57.08</v>
      </c>
      <c r="AD15" s="2">
        <f t="shared" si="0"/>
        <v>0.61999999999999744</v>
      </c>
      <c r="AE15" s="137">
        <f t="shared" si="1"/>
        <v>3.8691523039042774E-3</v>
      </c>
      <c r="AK15" s="233"/>
      <c r="AN15" s="233"/>
    </row>
    <row r="16" spans="1:40" x14ac:dyDescent="0.25">
      <c r="H16" s="71"/>
      <c r="W16" s="93">
        <v>42776</v>
      </c>
      <c r="X16" s="10">
        <v>57.02</v>
      </c>
      <c r="Y16" s="10">
        <v>57.04</v>
      </c>
      <c r="Z16" s="10">
        <v>56.66</v>
      </c>
      <c r="AA16" s="10">
        <v>56.86</v>
      </c>
      <c r="AB16" s="94">
        <v>12268100</v>
      </c>
      <c r="AC16" s="10">
        <v>56.86</v>
      </c>
      <c r="AD16" s="2">
        <f t="shared" si="0"/>
        <v>0.38000000000000256</v>
      </c>
      <c r="AE16" s="137">
        <f t="shared" si="1"/>
        <v>2.2915564956813572E-3</v>
      </c>
    </row>
    <row r="17" spans="1:40" x14ac:dyDescent="0.25">
      <c r="H17" s="71"/>
      <c r="W17" s="93">
        <v>42775</v>
      </c>
      <c r="X17" s="10">
        <v>55.63</v>
      </c>
      <c r="Y17" s="10">
        <v>56.77</v>
      </c>
      <c r="Z17" s="10">
        <v>55.63</v>
      </c>
      <c r="AA17" s="10">
        <v>56.73</v>
      </c>
      <c r="AB17" s="94">
        <v>15907800</v>
      </c>
      <c r="AC17" s="10">
        <v>56.73</v>
      </c>
      <c r="AD17" s="2">
        <f t="shared" si="0"/>
        <v>1.1400000000000006</v>
      </c>
      <c r="AE17" s="137">
        <f t="shared" si="1"/>
        <v>1.9773503505302825E-2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4581.2</v>
      </c>
      <c r="G18" s="14"/>
      <c r="H18" s="72">
        <f>SUM(H2:H17)</f>
        <v>40</v>
      </c>
      <c r="I18" s="18"/>
      <c r="J18" s="18"/>
      <c r="K18" s="18">
        <f>SUM(K2:K17)</f>
        <v>2345.9499999999998</v>
      </c>
      <c r="L18" s="18"/>
      <c r="M18" s="18">
        <f>SUM(M2:M17)</f>
        <v>30.4</v>
      </c>
      <c r="W18" s="93">
        <v>42774</v>
      </c>
      <c r="X18" s="10">
        <v>56.21</v>
      </c>
      <c r="Y18" s="10">
        <v>56.21</v>
      </c>
      <c r="Z18" s="10">
        <v>55.17</v>
      </c>
      <c r="AA18" s="10">
        <v>55.63</v>
      </c>
      <c r="AB18" s="94">
        <v>18592200</v>
      </c>
      <c r="AC18" s="10">
        <v>55.63</v>
      </c>
      <c r="AD18" s="2">
        <f t="shared" si="0"/>
        <v>1.0399999999999991</v>
      </c>
      <c r="AE18" s="137">
        <f t="shared" si="1"/>
        <v>-1.2602058927937532E-2</v>
      </c>
    </row>
    <row r="19" spans="1:40" ht="15.75" thickBot="1" x14ac:dyDescent="0.3">
      <c r="A19" s="353" t="s">
        <v>197</v>
      </c>
      <c r="B19" s="354"/>
      <c r="C19" s="355">
        <f>SumByColor($A$19,C2:C17)</f>
        <v>40</v>
      </c>
      <c r="D19" s="355"/>
      <c r="E19" s="355"/>
      <c r="F19" s="356">
        <f>SumByColor($A$19,F2:F17)</f>
        <v>2267</v>
      </c>
      <c r="G19" s="355"/>
      <c r="H19" s="355">
        <f>SumByColor($A$19,H2:H17)</f>
        <v>40</v>
      </c>
      <c r="I19" s="355"/>
      <c r="J19" s="355"/>
      <c r="K19" s="356">
        <f>SumByColor($A$19,K2:K17)</f>
        <v>2346</v>
      </c>
      <c r="L19" s="355"/>
      <c r="M19" s="356">
        <f>SumByColor($A$19,M2:M17)</f>
        <v>30</v>
      </c>
      <c r="W19" s="93">
        <v>42773</v>
      </c>
      <c r="X19" s="10">
        <v>56.86</v>
      </c>
      <c r="Y19" s="10">
        <v>57.19</v>
      </c>
      <c r="Z19" s="10">
        <v>56.27</v>
      </c>
      <c r="AA19" s="10">
        <v>56.34</v>
      </c>
      <c r="AB19" s="94">
        <v>14937400</v>
      </c>
      <c r="AC19" s="10">
        <v>56.34</v>
      </c>
      <c r="AD19" s="2">
        <f t="shared" si="0"/>
        <v>0.9199999999999946</v>
      </c>
      <c r="AE19" s="137">
        <f t="shared" si="1"/>
        <v>-3.7135278514587311E-3</v>
      </c>
      <c r="AK19" s="233"/>
      <c r="AN19" s="233"/>
    </row>
    <row r="20" spans="1:40" x14ac:dyDescent="0.25">
      <c r="W20" s="93">
        <v>42772</v>
      </c>
      <c r="X20" s="10">
        <v>57.08</v>
      </c>
      <c r="Y20" s="10">
        <v>57.41</v>
      </c>
      <c r="Z20" s="10">
        <v>56.49</v>
      </c>
      <c r="AA20" s="10">
        <v>56.55</v>
      </c>
      <c r="AB20" s="94">
        <v>13940200</v>
      </c>
      <c r="AC20" s="10">
        <v>56.55</v>
      </c>
      <c r="AD20" s="2">
        <f t="shared" si="0"/>
        <v>0.9199999999999946</v>
      </c>
      <c r="AE20" s="137">
        <f t="shared" si="1"/>
        <v>-1.2572027239392436E-2</v>
      </c>
    </row>
    <row r="21" spans="1:40" x14ac:dyDescent="0.25">
      <c r="W21" s="93">
        <v>42769</v>
      </c>
      <c r="X21" s="10">
        <v>56.88</v>
      </c>
      <c r="Y21" s="10">
        <v>57.29</v>
      </c>
      <c r="Z21" s="10">
        <v>56.43</v>
      </c>
      <c r="AA21" s="10">
        <v>57.27</v>
      </c>
      <c r="AB21" s="94">
        <v>19879800</v>
      </c>
      <c r="AC21" s="10">
        <v>57.27</v>
      </c>
      <c r="AD21" s="2">
        <f t="shared" si="0"/>
        <v>0.85999999999999943</v>
      </c>
      <c r="AE21" s="137">
        <f t="shared" si="1"/>
        <v>2.7264573991031549E-2</v>
      </c>
      <c r="AK21" s="233"/>
      <c r="AN21" s="233"/>
    </row>
    <row r="22" spans="1:40" x14ac:dyDescent="0.25">
      <c r="W22" s="93">
        <v>42768</v>
      </c>
      <c r="X22" s="10">
        <v>55.57</v>
      </c>
      <c r="Y22" s="10">
        <v>55.96</v>
      </c>
      <c r="Z22" s="10">
        <v>55.4</v>
      </c>
      <c r="AA22" s="10">
        <v>55.75</v>
      </c>
      <c r="AB22" s="94">
        <v>13044400</v>
      </c>
      <c r="AC22" s="10">
        <v>55.75</v>
      </c>
      <c r="AD22" s="2">
        <f t="shared" si="0"/>
        <v>0.56000000000000227</v>
      </c>
      <c r="AE22" s="137">
        <f t="shared" si="1"/>
        <v>-2.8617420854945008E-3</v>
      </c>
    </row>
    <row r="23" spans="1:40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93">
        <v>42767</v>
      </c>
      <c r="X23" s="10">
        <v>56.54</v>
      </c>
      <c r="Y23" s="10">
        <v>57.07</v>
      </c>
      <c r="Z23" s="10">
        <v>55.77</v>
      </c>
      <c r="AA23" s="10">
        <v>55.91</v>
      </c>
      <c r="AB23" s="94">
        <v>21157700</v>
      </c>
      <c r="AC23" s="10">
        <v>55.91</v>
      </c>
      <c r="AD23" s="2">
        <f t="shared" si="0"/>
        <v>1.2999999999999972</v>
      </c>
      <c r="AE23" s="137" t="e">
        <f t="shared" si="1"/>
        <v>#DIV/0!</v>
      </c>
      <c r="AK23" s="233"/>
    </row>
    <row r="24" spans="1:40" x14ac:dyDescent="0.25">
      <c r="A24" s="476"/>
      <c r="B24" s="475">
        <v>42718</v>
      </c>
      <c r="C24" s="476">
        <v>40</v>
      </c>
      <c r="D24" s="675">
        <v>54.28</v>
      </c>
      <c r="E24" s="477">
        <v>54.7</v>
      </c>
      <c r="F24" s="477">
        <f t="shared" ref="F24:F33" si="2">C24*(E24-D24)</f>
        <v>16.800000000000068</v>
      </c>
      <c r="G24" s="477">
        <f t="shared" ref="G24:G33" si="3">D24*C24</f>
        <v>2171.1999999999998</v>
      </c>
      <c r="H24" s="632">
        <f t="shared" ref="H24:H33" si="4">(E24-D24)/D24</f>
        <v>7.7376565954311296E-3</v>
      </c>
      <c r="I24" s="477"/>
      <c r="J24" s="477"/>
      <c r="W24" s="93">
        <v>42767</v>
      </c>
      <c r="X24" s="10" t="s">
        <v>187</v>
      </c>
      <c r="Y24" s="10"/>
      <c r="Z24" s="10"/>
      <c r="AA24" s="10"/>
      <c r="AB24" s="94"/>
      <c r="AC24" s="10"/>
      <c r="AD24" s="2">
        <f t="shared" si="0"/>
        <v>0</v>
      </c>
      <c r="AE24" s="137">
        <f t="shared" si="1"/>
        <v>-1</v>
      </c>
    </row>
    <row r="25" spans="1:40" x14ac:dyDescent="0.25">
      <c r="A25" s="476"/>
      <c r="B25" s="475">
        <v>42733</v>
      </c>
      <c r="C25" s="476">
        <v>80</v>
      </c>
      <c r="D25" s="675">
        <v>54.43</v>
      </c>
      <c r="E25" s="477">
        <v>54.58</v>
      </c>
      <c r="F25" s="477">
        <f t="shared" si="2"/>
        <v>11.999999999999886</v>
      </c>
      <c r="G25" s="477">
        <f t="shared" si="3"/>
        <v>4354.3999999999996</v>
      </c>
      <c r="H25" s="632">
        <f t="shared" si="4"/>
        <v>2.7558331802314639E-3</v>
      </c>
      <c r="I25" s="477"/>
      <c r="J25" s="477"/>
      <c r="W25" s="93">
        <v>42766</v>
      </c>
      <c r="X25" s="10">
        <v>55.98</v>
      </c>
      <c r="Y25" s="10">
        <v>56.38</v>
      </c>
      <c r="Z25" s="10">
        <v>55.8</v>
      </c>
      <c r="AA25" s="10">
        <v>56.33</v>
      </c>
      <c r="AB25" s="94">
        <v>22409100</v>
      </c>
      <c r="AC25" s="10">
        <v>55.95</v>
      </c>
      <c r="AD25" s="2">
        <f t="shared" si="0"/>
        <v>0.5800000000000054</v>
      </c>
      <c r="AE25" s="137">
        <f t="shared" si="1"/>
        <v>4.4883303411131781E-3</v>
      </c>
    </row>
    <row r="26" spans="1:40" x14ac:dyDescent="0.25">
      <c r="A26" s="476"/>
      <c r="B26" s="475">
        <v>42740</v>
      </c>
      <c r="C26" s="476">
        <v>120</v>
      </c>
      <c r="D26" s="675">
        <v>54.5867</v>
      </c>
      <c r="E26" s="477">
        <v>55.18</v>
      </c>
      <c r="F26" s="477">
        <f t="shared" si="2"/>
        <v>71.195999999999913</v>
      </c>
      <c r="G26" s="477">
        <f t="shared" si="3"/>
        <v>6550.4040000000005</v>
      </c>
      <c r="H26" s="632">
        <f t="shared" si="4"/>
        <v>1.0868947930539843E-2</v>
      </c>
      <c r="I26" s="477"/>
      <c r="J26" s="477"/>
      <c r="W26" s="93">
        <v>42765</v>
      </c>
      <c r="X26" s="10">
        <v>56.12</v>
      </c>
      <c r="Y26" s="10">
        <v>56.32</v>
      </c>
      <c r="Z26" s="10">
        <v>55.75</v>
      </c>
      <c r="AA26" s="10">
        <v>56.08</v>
      </c>
      <c r="AB26" s="94">
        <v>15961400</v>
      </c>
      <c r="AC26" s="10">
        <v>55.7</v>
      </c>
      <c r="AD26" s="2">
        <f t="shared" si="0"/>
        <v>0.57000000000000028</v>
      </c>
      <c r="AE26" s="137">
        <f t="shared" si="1"/>
        <v>-9.0731186621597626E-3</v>
      </c>
    </row>
    <row r="27" spans="1:40" x14ac:dyDescent="0.25">
      <c r="A27" s="476" t="s">
        <v>377</v>
      </c>
      <c r="B27" s="475">
        <v>42754</v>
      </c>
      <c r="C27" s="476">
        <v>120</v>
      </c>
      <c r="D27" s="675">
        <v>54.5867</v>
      </c>
      <c r="E27" s="477">
        <v>54.58</v>
      </c>
      <c r="F27" s="477">
        <f t="shared" si="2"/>
        <v>-0.80400000000025784</v>
      </c>
      <c r="G27" s="477">
        <f t="shared" si="3"/>
        <v>6550.4040000000005</v>
      </c>
      <c r="H27" s="632">
        <f t="shared" si="4"/>
        <v>-1.2274052104271094E-4</v>
      </c>
      <c r="I27" s="477"/>
      <c r="J27" s="477"/>
      <c r="W27" s="93">
        <v>42762</v>
      </c>
      <c r="X27" s="10">
        <v>57.03</v>
      </c>
      <c r="Y27" s="10">
        <v>57.11</v>
      </c>
      <c r="Z27" s="10">
        <v>56.41</v>
      </c>
      <c r="AA27" s="10">
        <v>56.59</v>
      </c>
      <c r="AB27" s="94">
        <v>17186200</v>
      </c>
      <c r="AC27" s="10">
        <v>56.21</v>
      </c>
      <c r="AD27" s="2">
        <f t="shared" si="0"/>
        <v>0.70000000000000284</v>
      </c>
      <c r="AE27" s="137">
        <f t="shared" si="1"/>
        <v>-1.021306568057756E-2</v>
      </c>
    </row>
    <row r="28" spans="1:40" x14ac:dyDescent="0.25">
      <c r="A28" s="476" t="s">
        <v>393</v>
      </c>
      <c r="B28" s="475">
        <v>42759</v>
      </c>
      <c r="C28" s="476">
        <v>80</v>
      </c>
      <c r="D28" s="675">
        <v>54.4206</v>
      </c>
      <c r="E28" s="477">
        <v>54.78</v>
      </c>
      <c r="F28" s="477">
        <f t="shared" si="2"/>
        <v>28.752000000000066</v>
      </c>
      <c r="G28" s="477">
        <f t="shared" si="3"/>
        <v>4353.6480000000001</v>
      </c>
      <c r="H28" s="632">
        <f t="shared" si="4"/>
        <v>6.6041168234087979E-3</v>
      </c>
      <c r="I28" s="477"/>
      <c r="J28" s="477"/>
      <c r="W28" s="93">
        <v>42761</v>
      </c>
      <c r="X28" s="10">
        <v>56.61</v>
      </c>
      <c r="Y28" s="10">
        <v>57.33</v>
      </c>
      <c r="Z28" s="10">
        <v>56.59</v>
      </c>
      <c r="AA28" s="10">
        <v>57.18</v>
      </c>
      <c r="AB28" s="94">
        <v>23769800</v>
      </c>
      <c r="AC28" s="10">
        <v>56.79</v>
      </c>
      <c r="AD28" s="2">
        <f t="shared" si="0"/>
        <v>0.73999999999999488</v>
      </c>
      <c r="AE28" s="137">
        <f t="shared" si="1"/>
        <v>9.7795163584637468E-3</v>
      </c>
    </row>
    <row r="29" spans="1:40" x14ac:dyDescent="0.25">
      <c r="A29" s="476" t="s">
        <v>393</v>
      </c>
      <c r="B29" s="475">
        <v>42760</v>
      </c>
      <c r="C29" s="476">
        <v>80</v>
      </c>
      <c r="D29" s="675">
        <v>54.4206</v>
      </c>
      <c r="E29" s="477">
        <v>56.62</v>
      </c>
      <c r="F29" s="477">
        <f t="shared" si="2"/>
        <v>175.95199999999977</v>
      </c>
      <c r="G29" s="477">
        <f t="shared" si="3"/>
        <v>4353.6480000000001</v>
      </c>
      <c r="H29" s="632">
        <f t="shared" si="4"/>
        <v>4.0414842908751414E-2</v>
      </c>
      <c r="I29" s="477"/>
      <c r="J29" s="477"/>
      <c r="W29" s="93">
        <v>42760</v>
      </c>
      <c r="X29" s="10">
        <v>55.38</v>
      </c>
      <c r="Y29" s="10">
        <v>56.83</v>
      </c>
      <c r="Z29" s="10">
        <v>55.28</v>
      </c>
      <c r="AA29" s="10">
        <v>56.62</v>
      </c>
      <c r="AB29" s="94">
        <v>32252100</v>
      </c>
      <c r="AC29" s="10">
        <v>56.24</v>
      </c>
      <c r="AD29" s="2">
        <f t="shared" si="0"/>
        <v>1.5499999999999972</v>
      </c>
      <c r="AE29" s="137">
        <f t="shared" si="1"/>
        <v>3.5155531014172681E-2</v>
      </c>
    </row>
    <row r="30" spans="1:40" x14ac:dyDescent="0.25">
      <c r="A30" s="476" t="s">
        <v>429</v>
      </c>
      <c r="B30" s="475">
        <v>42767</v>
      </c>
      <c r="C30" s="476">
        <v>80</v>
      </c>
      <c r="D30" s="675">
        <v>54.2363</v>
      </c>
      <c r="E30" s="477">
        <v>55.91</v>
      </c>
      <c r="F30" s="477">
        <f t="shared" si="2"/>
        <v>133.89599999999973</v>
      </c>
      <c r="G30" s="477">
        <f t="shared" si="3"/>
        <v>4338.9040000000005</v>
      </c>
      <c r="H30" s="632">
        <f t="shared" si="4"/>
        <v>3.085940596980245E-2</v>
      </c>
      <c r="I30" s="477"/>
      <c r="J30" s="477"/>
      <c r="W30" s="93">
        <v>42759</v>
      </c>
      <c r="X30" s="10">
        <v>54.36</v>
      </c>
      <c r="Y30" s="10">
        <v>55.07</v>
      </c>
      <c r="Z30" s="10">
        <v>54.13</v>
      </c>
      <c r="AA30" s="10">
        <v>54.7</v>
      </c>
      <c r="AB30" s="94">
        <v>18523300</v>
      </c>
      <c r="AC30" s="10">
        <v>54.33</v>
      </c>
      <c r="AD30" s="2">
        <f t="shared" si="0"/>
        <v>0.93999999999999773</v>
      </c>
      <c r="AE30" s="137">
        <f t="shared" si="1"/>
        <v>8.3518930957682258E-3</v>
      </c>
    </row>
    <row r="31" spans="1:40" x14ac:dyDescent="0.25">
      <c r="A31" s="476" t="s">
        <v>448</v>
      </c>
      <c r="B31" s="475">
        <v>42771</v>
      </c>
      <c r="C31" s="476">
        <v>80</v>
      </c>
      <c r="D31" s="675">
        <v>54.2363</v>
      </c>
      <c r="E31" s="477">
        <v>57.27</v>
      </c>
      <c r="F31" s="477">
        <f t="shared" si="2"/>
        <v>242.69600000000025</v>
      </c>
      <c r="G31" s="477">
        <f t="shared" si="3"/>
        <v>4338.9040000000005</v>
      </c>
      <c r="H31" s="632">
        <f t="shared" si="4"/>
        <v>5.5934862813281937E-2</v>
      </c>
      <c r="I31" s="477"/>
      <c r="J31" s="477"/>
      <c r="W31" s="93">
        <v>42758</v>
      </c>
      <c r="X31" s="10">
        <v>54.71</v>
      </c>
      <c r="Y31" s="10">
        <v>55</v>
      </c>
      <c r="Z31" s="10">
        <v>54.15</v>
      </c>
      <c r="AA31" s="10">
        <v>54.25</v>
      </c>
      <c r="AB31" s="94">
        <v>17227400</v>
      </c>
      <c r="AC31" s="10">
        <v>53.88</v>
      </c>
      <c r="AD31" s="2">
        <f t="shared" si="0"/>
        <v>0.85000000000000142</v>
      </c>
      <c r="AE31" s="137">
        <f t="shared" si="1"/>
        <v>-1.4990859232175469E-2</v>
      </c>
    </row>
    <row r="32" spans="1:40" x14ac:dyDescent="0.25">
      <c r="A32" s="476" t="s">
        <v>485</v>
      </c>
      <c r="B32" s="475">
        <v>42781</v>
      </c>
      <c r="C32" s="476">
        <v>40</v>
      </c>
      <c r="D32" s="675">
        <v>49.9938</v>
      </c>
      <c r="E32" s="477">
        <v>58.48</v>
      </c>
      <c r="F32" s="477">
        <f t="shared" si="2"/>
        <v>339.44799999999987</v>
      </c>
      <c r="G32" s="477">
        <f t="shared" si="3"/>
        <v>1999.752</v>
      </c>
      <c r="H32" s="632">
        <f t="shared" si="4"/>
        <v>0.1697450483859998</v>
      </c>
      <c r="I32" s="477"/>
      <c r="J32" s="477"/>
      <c r="W32" s="93">
        <v>42755</v>
      </c>
      <c r="X32" s="10">
        <v>54.75</v>
      </c>
      <c r="Y32" s="10">
        <v>55.11</v>
      </c>
      <c r="Z32" s="10">
        <v>54.62</v>
      </c>
      <c r="AA32" s="10">
        <v>55.07</v>
      </c>
      <c r="AB32" s="94">
        <v>24160800</v>
      </c>
      <c r="AC32" s="10">
        <v>54.7</v>
      </c>
      <c r="AD32" s="2">
        <f t="shared" si="0"/>
        <v>0.49000000000000199</v>
      </c>
      <c r="AE32" s="137">
        <f t="shared" si="1"/>
        <v>9.0389227079874512E-3</v>
      </c>
    </row>
    <row r="33" spans="1:31" x14ac:dyDescent="0.25">
      <c r="A33" s="476" t="s">
        <v>393</v>
      </c>
      <c r="B33" s="475">
        <v>42782</v>
      </c>
      <c r="C33" s="476">
        <v>80</v>
      </c>
      <c r="D33" s="675">
        <v>53.921900000000001</v>
      </c>
      <c r="E33" s="477">
        <v>58.12</v>
      </c>
      <c r="F33" s="477">
        <f t="shared" si="2"/>
        <v>335.84799999999973</v>
      </c>
      <c r="G33" s="477">
        <f t="shared" si="3"/>
        <v>4313.7520000000004</v>
      </c>
      <c r="H33" s="632">
        <f t="shared" si="4"/>
        <v>7.7855194271715139E-2</v>
      </c>
      <c r="I33" s="477"/>
      <c r="J33" s="477"/>
      <c r="W33" s="93">
        <v>42754</v>
      </c>
      <c r="X33" s="10">
        <v>54.24</v>
      </c>
      <c r="Y33" s="10">
        <v>54.77</v>
      </c>
      <c r="Z33" s="10">
        <v>53.86</v>
      </c>
      <c r="AA33" s="10">
        <v>54.58</v>
      </c>
      <c r="AB33" s="94">
        <v>20906900</v>
      </c>
      <c r="AC33" s="10">
        <v>54.21</v>
      </c>
      <c r="AD33" s="2">
        <f t="shared" si="0"/>
        <v>0.91000000000000369</v>
      </c>
      <c r="AE33" s="137">
        <f t="shared" si="1"/>
        <v>5.7513914656772691E-3</v>
      </c>
    </row>
    <row r="34" spans="1:31" x14ac:dyDescent="0.25">
      <c r="A34" s="4" t="s">
        <v>546</v>
      </c>
      <c r="B34" s="192">
        <v>42795</v>
      </c>
      <c r="C34" s="10">
        <v>80</v>
      </c>
      <c r="D34" s="199">
        <v>57.265000000000001</v>
      </c>
      <c r="E34" s="40">
        <v>59.73</v>
      </c>
      <c r="F34" s="40">
        <f t="shared" ref="F34" si="5">C34*(E34-D34)</f>
        <v>197.1999999999997</v>
      </c>
      <c r="G34" s="40">
        <f t="shared" ref="G34" si="6">D34*C34</f>
        <v>4581.2</v>
      </c>
      <c r="H34" s="230">
        <f t="shared" ref="H34" si="7">(E34-D34)/D34</f>
        <v>4.3045490264559443E-2</v>
      </c>
      <c r="I34" s="40">
        <v>57</v>
      </c>
      <c r="J34" s="40">
        <v>1293</v>
      </c>
      <c r="W34" s="93">
        <v>42753</v>
      </c>
      <c r="X34" s="10">
        <v>53.78</v>
      </c>
      <c r="Y34" s="10">
        <v>54.29</v>
      </c>
      <c r="Z34" s="10">
        <v>53.34</v>
      </c>
      <c r="AA34" s="10">
        <v>54.27</v>
      </c>
      <c r="AB34" s="94">
        <v>21186700</v>
      </c>
      <c r="AC34" s="10">
        <v>53.9</v>
      </c>
      <c r="AD34" s="2">
        <f t="shared" si="0"/>
        <v>0.94999999999999574</v>
      </c>
      <c r="AE34" s="137">
        <f t="shared" si="1"/>
        <v>8.9853987270684943E-3</v>
      </c>
    </row>
    <row r="35" spans="1:31" x14ac:dyDescent="0.25">
      <c r="A35" s="4" t="s">
        <v>747</v>
      </c>
      <c r="B35" s="192">
        <v>42803</v>
      </c>
      <c r="C35" s="10">
        <v>40</v>
      </c>
      <c r="D35" s="199">
        <v>57.265000000000001</v>
      </c>
      <c r="E35" s="40">
        <v>58.7</v>
      </c>
      <c r="F35" s="40">
        <f t="shared" ref="F35" si="8">C35*(E35-D35)</f>
        <v>57.400000000000091</v>
      </c>
      <c r="G35" s="40">
        <f t="shared" ref="G35" si="9">D35*C35</f>
        <v>2290.6</v>
      </c>
      <c r="H35" s="230">
        <f t="shared" ref="H35" si="10">(E35-D35)/D35</f>
        <v>2.5058936523181738E-2</v>
      </c>
      <c r="I35" s="40"/>
      <c r="J35" s="40">
        <v>1239</v>
      </c>
      <c r="W35" s="93">
        <v>42752</v>
      </c>
      <c r="X35" s="10">
        <v>54.8</v>
      </c>
      <c r="Y35" s="10">
        <v>54.96</v>
      </c>
      <c r="Z35" s="10">
        <v>53.58</v>
      </c>
      <c r="AA35" s="10">
        <v>53.78</v>
      </c>
      <c r="AB35" s="94">
        <v>26974400</v>
      </c>
      <c r="AC35" s="10">
        <v>53.42</v>
      </c>
      <c r="AD35" s="2">
        <f t="shared" si="0"/>
        <v>1.3800000000000026</v>
      </c>
      <c r="AE35" s="137">
        <f t="shared" si="1"/>
        <v>-2.7666545322169611E-2</v>
      </c>
    </row>
    <row r="36" spans="1:31" x14ac:dyDescent="0.25">
      <c r="B36" s="192"/>
      <c r="C36" s="10"/>
      <c r="D36" s="199"/>
      <c r="E36" s="40"/>
      <c r="F36" s="40"/>
      <c r="G36" s="40"/>
      <c r="H36" s="230"/>
      <c r="I36" s="40"/>
      <c r="J36" s="40"/>
      <c r="W36" s="93">
        <v>42748</v>
      </c>
      <c r="X36" s="10">
        <v>55.11</v>
      </c>
      <c r="Y36" s="10">
        <v>56.2</v>
      </c>
      <c r="Z36" s="10">
        <v>54.65</v>
      </c>
      <c r="AA36" s="10">
        <v>55.31</v>
      </c>
      <c r="AB36" s="94">
        <v>37231600</v>
      </c>
      <c r="AC36" s="10">
        <v>54.94</v>
      </c>
      <c r="AD36" s="2">
        <f t="shared" si="0"/>
        <v>1.5500000000000043</v>
      </c>
      <c r="AE36" s="137">
        <f t="shared" si="1"/>
        <v>1.4963975614261882E-2</v>
      </c>
    </row>
    <row r="37" spans="1:31" x14ac:dyDescent="0.25">
      <c r="B37" s="192"/>
      <c r="C37" s="10"/>
      <c r="D37" s="199"/>
      <c r="E37" s="40"/>
      <c r="F37" s="40"/>
      <c r="G37" s="40"/>
      <c r="H37" s="230"/>
      <c r="I37" s="40"/>
      <c r="J37" s="40"/>
      <c r="W37" s="93">
        <v>42747</v>
      </c>
      <c r="X37" s="10">
        <v>54.65</v>
      </c>
      <c r="Y37" s="10">
        <v>54.78</v>
      </c>
      <c r="Z37" s="10">
        <v>53.9</v>
      </c>
      <c r="AA37" s="10">
        <v>54.5</v>
      </c>
      <c r="AB37" s="94">
        <v>20566600</v>
      </c>
      <c r="AC37" s="10">
        <v>54.13</v>
      </c>
      <c r="AD37" s="2">
        <f t="shared" si="0"/>
        <v>0.88000000000000256</v>
      </c>
      <c r="AE37" s="137">
        <f t="shared" si="1"/>
        <v>-5.5116663604629634E-3</v>
      </c>
    </row>
    <row r="38" spans="1:31" x14ac:dyDescent="0.25">
      <c r="W38" s="93">
        <v>42746</v>
      </c>
      <c r="X38" s="10">
        <v>54.6</v>
      </c>
      <c r="Y38" s="10">
        <v>54.8</v>
      </c>
      <c r="Z38" s="10">
        <v>53.72</v>
      </c>
      <c r="AA38" s="10">
        <v>54.8</v>
      </c>
      <c r="AB38" s="94">
        <v>21100600</v>
      </c>
      <c r="AC38" s="10">
        <v>54.43</v>
      </c>
      <c r="AD38" s="2">
        <f t="shared" si="0"/>
        <v>1.0799999999999983</v>
      </c>
      <c r="AE38" s="137">
        <f t="shared" si="1"/>
        <v>3.3179723502303471E-3</v>
      </c>
    </row>
    <row r="39" spans="1:31" ht="20.25" thickBot="1" x14ac:dyDescent="0.35">
      <c r="O39" s="11"/>
      <c r="P39" s="703" t="s">
        <v>78</v>
      </c>
      <c r="Q39" s="703"/>
      <c r="R39" s="34"/>
      <c r="W39" s="93">
        <v>42745</v>
      </c>
      <c r="X39" s="10">
        <v>54.35</v>
      </c>
      <c r="Y39" s="10">
        <v>55.18</v>
      </c>
      <c r="Z39" s="10">
        <v>54.26</v>
      </c>
      <c r="AA39" s="10">
        <v>54.62</v>
      </c>
      <c r="AB39" s="94">
        <v>17978200</v>
      </c>
      <c r="AC39" s="10">
        <v>54.25</v>
      </c>
      <c r="AD39" s="2">
        <f t="shared" si="0"/>
        <v>0.92000000000000171</v>
      </c>
      <c r="AE39" s="137">
        <f t="shared" si="1"/>
        <v>7.054018934471884E-3</v>
      </c>
    </row>
    <row r="40" spans="1:31" ht="15.75" thickTop="1" x14ac:dyDescent="0.25">
      <c r="B40" s="190" t="s">
        <v>114</v>
      </c>
      <c r="C40" s="190" t="s">
        <v>147</v>
      </c>
      <c r="D40" s="191" t="s">
        <v>146</v>
      </c>
      <c r="E40" s="193" t="s">
        <v>148</v>
      </c>
      <c r="F40" s="193" t="s">
        <v>65</v>
      </c>
      <c r="G40" s="228" t="s">
        <v>152</v>
      </c>
      <c r="H40" s="228" t="s">
        <v>88</v>
      </c>
      <c r="I40" s="228" t="s">
        <v>155</v>
      </c>
      <c r="O40" s="2"/>
      <c r="P40" s="82">
        <v>1.1000000000000001</v>
      </c>
      <c r="Q40" s="82">
        <f>P40*$Q$4</f>
        <v>64.735000000000014</v>
      </c>
      <c r="R40" s="34"/>
      <c r="W40" s="93">
        <v>42744</v>
      </c>
      <c r="X40" s="10">
        <v>54.68</v>
      </c>
      <c r="Y40" s="10">
        <v>54.81</v>
      </c>
      <c r="Z40" s="10">
        <v>54.18</v>
      </c>
      <c r="AA40" s="10">
        <v>54.24</v>
      </c>
      <c r="AB40" s="94">
        <v>21665600</v>
      </c>
      <c r="AC40" s="10">
        <v>53.87</v>
      </c>
      <c r="AD40" s="2">
        <f t="shared" si="0"/>
        <v>0.63000000000000256</v>
      </c>
      <c r="AE40" s="137">
        <f t="shared" si="1"/>
        <v>-1.4633254069873813E-2</v>
      </c>
    </row>
    <row r="41" spans="1:31" x14ac:dyDescent="0.25">
      <c r="B41" s="377">
        <v>42376</v>
      </c>
      <c r="C41" s="378">
        <v>40</v>
      </c>
      <c r="D41" s="383">
        <v>50.5</v>
      </c>
      <c r="E41" s="379">
        <v>50.4</v>
      </c>
      <c r="F41" s="379">
        <f t="shared" ref="F41:F63" si="11">C41*(E41-D41)</f>
        <v>-4.0000000000000568</v>
      </c>
      <c r="G41" s="379">
        <f t="shared" ref="G41:G63" si="12">D41*C41</f>
        <v>2020</v>
      </c>
      <c r="H41" s="380">
        <f t="shared" ref="H41:H63" si="13">(E41-D41)/D41</f>
        <v>-1.9801980198020084E-3</v>
      </c>
      <c r="I41" s="379"/>
      <c r="O41" s="2"/>
      <c r="P41" s="82">
        <v>1.0900000000000001</v>
      </c>
      <c r="Q41" s="82">
        <f t="shared" ref="Q41:Q60" si="14">P41*$Q$4</f>
        <v>64.146500000000003</v>
      </c>
      <c r="R41" s="34"/>
      <c r="W41" s="93">
        <v>42741</v>
      </c>
      <c r="X41" s="10">
        <v>55.26</v>
      </c>
      <c r="Y41" s="10">
        <v>55.57</v>
      </c>
      <c r="Z41" s="10">
        <v>54.7</v>
      </c>
      <c r="AA41" s="10">
        <v>55.04</v>
      </c>
      <c r="AB41" s="94">
        <v>18715900</v>
      </c>
      <c r="AC41" s="10">
        <v>54.67</v>
      </c>
      <c r="AD41" s="2">
        <f t="shared" si="0"/>
        <v>0.86999999999999744</v>
      </c>
      <c r="AE41" s="137">
        <f t="shared" si="1"/>
        <v>-2.5542784163473664E-3</v>
      </c>
    </row>
    <row r="42" spans="1:31" ht="20.25" thickBot="1" x14ac:dyDescent="0.35">
      <c r="B42" s="377">
        <v>42403</v>
      </c>
      <c r="C42" s="378">
        <v>40</v>
      </c>
      <c r="D42" s="383">
        <v>50.5</v>
      </c>
      <c r="E42" s="379">
        <v>47.6</v>
      </c>
      <c r="F42" s="379">
        <f t="shared" si="11"/>
        <v>-115.99999999999994</v>
      </c>
      <c r="G42" s="379">
        <f t="shared" si="12"/>
        <v>2020</v>
      </c>
      <c r="H42" s="380">
        <f t="shared" si="13"/>
        <v>-5.74257425742574E-2</v>
      </c>
      <c r="I42" s="379"/>
      <c r="O42" s="2"/>
      <c r="P42" s="82">
        <v>1.08</v>
      </c>
      <c r="Q42" s="82">
        <f t="shared" si="14"/>
        <v>63.558000000000007</v>
      </c>
      <c r="R42" s="34"/>
      <c r="T42" s="90" t="s">
        <v>113</v>
      </c>
      <c r="W42" s="93">
        <v>42740</v>
      </c>
      <c r="X42" s="10">
        <v>55.49</v>
      </c>
      <c r="Y42" s="10">
        <v>55.82</v>
      </c>
      <c r="Z42" s="10">
        <v>54.48</v>
      </c>
      <c r="AA42" s="10">
        <v>55.18</v>
      </c>
      <c r="AB42" s="94">
        <v>18831600</v>
      </c>
      <c r="AC42" s="10">
        <v>54.81</v>
      </c>
      <c r="AD42" s="2">
        <f t="shared" si="0"/>
        <v>1.3400000000000034</v>
      </c>
      <c r="AE42" s="137">
        <f t="shared" si="1"/>
        <v>-1.5448176755882836E-2</v>
      </c>
    </row>
    <row r="43" spans="1:31" ht="15.75" thickTop="1" x14ac:dyDescent="0.25">
      <c r="B43" s="377">
        <v>42430</v>
      </c>
      <c r="C43" s="378">
        <v>40</v>
      </c>
      <c r="D43" s="383">
        <v>50.125</v>
      </c>
      <c r="E43" s="379">
        <v>48.72</v>
      </c>
      <c r="F43" s="379">
        <f t="shared" si="11"/>
        <v>-56.200000000000045</v>
      </c>
      <c r="G43" s="379">
        <f t="shared" si="12"/>
        <v>2005</v>
      </c>
      <c r="H43" s="380">
        <f t="shared" si="13"/>
        <v>-2.8029925187032442E-2</v>
      </c>
      <c r="I43" s="379" t="s">
        <v>185</v>
      </c>
      <c r="O43" s="2"/>
      <c r="P43" s="82">
        <v>1.07</v>
      </c>
      <c r="Q43" s="82">
        <f t="shared" si="14"/>
        <v>62.969500000000004</v>
      </c>
      <c r="R43" s="82"/>
      <c r="T43" s="96" t="s">
        <v>98</v>
      </c>
      <c r="U43" s="97">
        <v>58.71</v>
      </c>
      <c r="W43" s="93">
        <v>42739</v>
      </c>
      <c r="X43" s="10">
        <v>56.16</v>
      </c>
      <c r="Y43" s="10">
        <v>56.31</v>
      </c>
      <c r="Z43" s="10">
        <v>55.61</v>
      </c>
      <c r="AA43" s="10">
        <v>56.05</v>
      </c>
      <c r="AB43" s="94">
        <v>15036100</v>
      </c>
      <c r="AC43" s="10">
        <v>55.67</v>
      </c>
      <c r="AD43" s="2">
        <f t="shared" si="0"/>
        <v>0.70000000000000284</v>
      </c>
      <c r="AE43" s="137">
        <f t="shared" si="1"/>
        <v>8.9895720963695247E-4</v>
      </c>
    </row>
    <row r="44" spans="1:31" x14ac:dyDescent="0.25">
      <c r="B44" s="377">
        <v>42431</v>
      </c>
      <c r="C44" s="378">
        <v>40</v>
      </c>
      <c r="D44" s="383">
        <v>50.125</v>
      </c>
      <c r="E44" s="379">
        <v>49.57</v>
      </c>
      <c r="F44" s="379">
        <f t="shared" si="11"/>
        <v>-22.199999999999989</v>
      </c>
      <c r="G44" s="379">
        <f t="shared" si="12"/>
        <v>2005</v>
      </c>
      <c r="H44" s="380">
        <f t="shared" si="13"/>
        <v>-1.1072319201995006E-2</v>
      </c>
      <c r="I44" s="379"/>
      <c r="O44" s="2"/>
      <c r="P44" s="82">
        <v>1.06</v>
      </c>
      <c r="Q44" s="82">
        <f t="shared" si="14"/>
        <v>62.381000000000007</v>
      </c>
      <c r="R44" s="82"/>
      <c r="T44" s="86" t="s">
        <v>99</v>
      </c>
      <c r="U44" s="87">
        <v>58.85</v>
      </c>
      <c r="W44" s="93">
        <v>42738</v>
      </c>
      <c r="X44" s="10">
        <v>55.67</v>
      </c>
      <c r="Y44" s="10">
        <v>56.35</v>
      </c>
      <c r="Z44" s="10">
        <v>55.46</v>
      </c>
      <c r="AA44" s="10">
        <v>56</v>
      </c>
      <c r="AB44" s="94">
        <v>22063800</v>
      </c>
      <c r="AC44" s="10">
        <v>55.62</v>
      </c>
      <c r="AD44" s="2">
        <f t="shared" si="0"/>
        <v>0.89000000000000057</v>
      </c>
      <c r="AE44" s="137">
        <f t="shared" si="1"/>
        <v>1.6075995615637551E-2</v>
      </c>
    </row>
    <row r="45" spans="1:31" x14ac:dyDescent="0.25">
      <c r="B45" s="377">
        <v>42438</v>
      </c>
      <c r="C45" s="378">
        <v>40</v>
      </c>
      <c r="D45" s="383">
        <v>50.125</v>
      </c>
      <c r="E45" s="379">
        <v>48.79</v>
      </c>
      <c r="F45" s="379">
        <f t="shared" si="11"/>
        <v>-53.400000000000034</v>
      </c>
      <c r="G45" s="379">
        <f t="shared" si="12"/>
        <v>2005</v>
      </c>
      <c r="H45" s="380">
        <f t="shared" si="13"/>
        <v>-2.6633416458852886E-2</v>
      </c>
      <c r="I45" s="379"/>
      <c r="O45" s="2"/>
      <c r="P45" s="82">
        <v>1.05</v>
      </c>
      <c r="Q45" s="82">
        <f t="shared" si="14"/>
        <v>61.792500000000004</v>
      </c>
      <c r="R45" s="82"/>
      <c r="T45" s="86" t="s">
        <v>100</v>
      </c>
      <c r="U45" s="87" t="s">
        <v>129</v>
      </c>
      <c r="W45" s="93">
        <v>42734</v>
      </c>
      <c r="X45" s="10">
        <v>54.89</v>
      </c>
      <c r="Y45" s="10">
        <v>55.36</v>
      </c>
      <c r="Z45" s="10">
        <v>54.79</v>
      </c>
      <c r="AA45" s="10">
        <v>55.11</v>
      </c>
      <c r="AB45" s="94">
        <v>15095500</v>
      </c>
      <c r="AC45" s="10">
        <v>54.74</v>
      </c>
      <c r="AD45" s="2">
        <f t="shared" si="0"/>
        <v>0.57000000000000028</v>
      </c>
      <c r="AE45" s="137">
        <f t="shared" si="1"/>
        <v>4.9568569854967492E-3</v>
      </c>
    </row>
    <row r="46" spans="1:31" x14ac:dyDescent="0.25">
      <c r="B46" s="377">
        <v>42444</v>
      </c>
      <c r="C46" s="399">
        <v>40</v>
      </c>
      <c r="D46" s="538">
        <v>50.125</v>
      </c>
      <c r="E46" s="379">
        <v>49.98</v>
      </c>
      <c r="F46" s="379">
        <f t="shared" si="11"/>
        <v>-5.8000000000001251</v>
      </c>
      <c r="G46" s="379">
        <f t="shared" si="12"/>
        <v>2005</v>
      </c>
      <c r="H46" s="380">
        <f t="shared" si="13"/>
        <v>-2.8927680798005611E-3</v>
      </c>
      <c r="I46" s="379"/>
      <c r="O46" s="2"/>
      <c r="P46" s="82">
        <v>1.04</v>
      </c>
      <c r="Q46" s="82">
        <f t="shared" si="14"/>
        <v>61.204000000000001</v>
      </c>
      <c r="R46" s="82"/>
      <c r="T46" s="86" t="s">
        <v>101</v>
      </c>
      <c r="U46" s="87" t="s">
        <v>129</v>
      </c>
      <c r="W46" s="93">
        <v>42733</v>
      </c>
      <c r="X46" s="10">
        <v>55.19</v>
      </c>
      <c r="Y46" s="10">
        <v>55.46</v>
      </c>
      <c r="Z46" s="10">
        <v>54.48</v>
      </c>
      <c r="AA46" s="10">
        <v>54.84</v>
      </c>
      <c r="AB46" s="94">
        <v>15933500</v>
      </c>
      <c r="AC46" s="10">
        <v>54.47</v>
      </c>
      <c r="AD46" s="2">
        <f t="shared" si="0"/>
        <v>0.98000000000000398</v>
      </c>
      <c r="AE46" s="137">
        <f t="shared" si="1"/>
        <v>-8.7352138307552618E-3</v>
      </c>
    </row>
    <row r="47" spans="1:31" x14ac:dyDescent="0.25">
      <c r="B47" s="377">
        <v>42466</v>
      </c>
      <c r="C47" s="399">
        <v>80</v>
      </c>
      <c r="D47" s="538">
        <v>48.752499999999998</v>
      </c>
      <c r="E47" s="379">
        <v>48.08</v>
      </c>
      <c r="F47" s="379">
        <f t="shared" si="11"/>
        <v>-53.799999999999955</v>
      </c>
      <c r="G47" s="379">
        <f t="shared" si="12"/>
        <v>3900.2</v>
      </c>
      <c r="H47" s="380">
        <f t="shared" si="13"/>
        <v>-1.3794164401825536E-2</v>
      </c>
      <c r="I47" s="379"/>
      <c r="O47" s="2"/>
      <c r="P47" s="82">
        <v>1.03</v>
      </c>
      <c r="Q47" s="82">
        <f t="shared" si="14"/>
        <v>60.615500000000004</v>
      </c>
      <c r="R47" s="82"/>
      <c r="T47" s="86" t="s">
        <v>102</v>
      </c>
      <c r="U47" s="87">
        <v>58.29</v>
      </c>
      <c r="W47" s="93">
        <v>42732</v>
      </c>
      <c r="X47" s="10">
        <v>55.98</v>
      </c>
      <c r="Y47" s="10">
        <v>56.08</v>
      </c>
      <c r="Z47" s="10">
        <v>55.27</v>
      </c>
      <c r="AA47" s="10">
        <v>55.32</v>
      </c>
      <c r="AB47" s="94">
        <v>10609100</v>
      </c>
      <c r="AC47" s="10">
        <v>54.95</v>
      </c>
      <c r="AD47" s="2">
        <f t="shared" si="0"/>
        <v>0.80999999999999517</v>
      </c>
      <c r="AE47" s="137">
        <f t="shared" si="1"/>
        <v>-1.1157099154219807E-2</v>
      </c>
    </row>
    <row r="48" spans="1:31" x14ac:dyDescent="0.25">
      <c r="B48" s="377">
        <v>42469</v>
      </c>
      <c r="C48" s="399">
        <v>80</v>
      </c>
      <c r="D48" s="538">
        <v>48.752499999999998</v>
      </c>
      <c r="E48" s="379">
        <v>47.07</v>
      </c>
      <c r="F48" s="379">
        <f t="shared" si="11"/>
        <v>-134.5999999999998</v>
      </c>
      <c r="G48" s="379">
        <f t="shared" si="12"/>
        <v>3900.2</v>
      </c>
      <c r="H48" s="380">
        <f t="shared" si="13"/>
        <v>-3.451105071534788E-2</v>
      </c>
      <c r="I48" s="379"/>
      <c r="O48" s="2"/>
      <c r="P48" s="82">
        <v>1.02</v>
      </c>
      <c r="Q48" s="82">
        <f t="shared" si="14"/>
        <v>60.027000000000001</v>
      </c>
      <c r="R48" s="82"/>
      <c r="T48" s="86" t="s">
        <v>103</v>
      </c>
      <c r="U48" s="87">
        <v>1.02257</v>
      </c>
      <c r="W48" s="93">
        <v>42731</v>
      </c>
      <c r="X48" s="10">
        <v>55.9</v>
      </c>
      <c r="Y48" s="10">
        <v>56.1</v>
      </c>
      <c r="Z48" s="10">
        <v>55.84</v>
      </c>
      <c r="AA48" s="10">
        <v>55.95</v>
      </c>
      <c r="AB48" s="94">
        <v>8893900</v>
      </c>
      <c r="AC48" s="10">
        <v>55.57</v>
      </c>
      <c r="AD48" s="2">
        <f t="shared" si="0"/>
        <v>0.25999999999999801</v>
      </c>
      <c r="AE48" s="137">
        <f t="shared" si="1"/>
        <v>-1.7992083483264754E-4</v>
      </c>
    </row>
    <row r="49" spans="2:31" x14ac:dyDescent="0.25">
      <c r="B49" s="377">
        <v>42473</v>
      </c>
      <c r="C49" s="399">
        <v>40</v>
      </c>
      <c r="D49" s="538">
        <v>48.595999999999997</v>
      </c>
      <c r="E49" s="379">
        <v>49.03</v>
      </c>
      <c r="F49" s="379">
        <f t="shared" si="11"/>
        <v>17.360000000000184</v>
      </c>
      <c r="G49" s="379">
        <f t="shared" si="12"/>
        <v>1943.84</v>
      </c>
      <c r="H49" s="380">
        <f t="shared" si="13"/>
        <v>8.9307761955717477E-3</v>
      </c>
      <c r="I49" s="379"/>
      <c r="O49" s="2"/>
      <c r="P49" s="82">
        <v>1.01</v>
      </c>
      <c r="Q49" s="82">
        <f t="shared" si="14"/>
        <v>59.438500000000005</v>
      </c>
      <c r="R49" s="82"/>
      <c r="T49" s="86" t="s">
        <v>104</v>
      </c>
      <c r="U49" s="88" t="s">
        <v>368</v>
      </c>
      <c r="W49" s="93">
        <v>42727</v>
      </c>
      <c r="X49" s="10">
        <v>55.78</v>
      </c>
      <c r="Y49" s="10">
        <v>55.98</v>
      </c>
      <c r="Z49" s="10">
        <v>55.62</v>
      </c>
      <c r="AA49" s="10">
        <v>55.96</v>
      </c>
      <c r="AB49" s="94">
        <v>8313000</v>
      </c>
      <c r="AC49" s="10">
        <v>55.58</v>
      </c>
      <c r="AD49" s="2">
        <f t="shared" si="0"/>
        <v>0.35999999999999943</v>
      </c>
      <c r="AE49" s="137">
        <f t="shared" si="1"/>
        <v>3.7926675094817064E-3</v>
      </c>
    </row>
    <row r="50" spans="2:31" x14ac:dyDescent="0.25">
      <c r="B50" s="377">
        <v>42474</v>
      </c>
      <c r="C50" s="399">
        <v>80</v>
      </c>
      <c r="D50" s="538">
        <v>48.573</v>
      </c>
      <c r="E50" s="379">
        <v>48.79</v>
      </c>
      <c r="F50" s="379">
        <f t="shared" si="11"/>
        <v>17.3599999999999</v>
      </c>
      <c r="G50" s="379">
        <f t="shared" si="12"/>
        <v>3885.84</v>
      </c>
      <c r="H50" s="380">
        <f t="shared" si="13"/>
        <v>4.4675025219772044E-3</v>
      </c>
      <c r="I50" s="379"/>
      <c r="O50" s="2"/>
      <c r="P50" s="82">
        <v>1</v>
      </c>
      <c r="Q50" s="82">
        <f t="shared" si="14"/>
        <v>58.85</v>
      </c>
      <c r="R50" s="82"/>
      <c r="T50" s="86"/>
      <c r="U50" s="87"/>
      <c r="W50" s="93">
        <v>42726</v>
      </c>
      <c r="X50" s="10">
        <v>55.76</v>
      </c>
      <c r="Y50" s="10">
        <v>56.03</v>
      </c>
      <c r="Z50" s="10">
        <v>55.5</v>
      </c>
      <c r="AA50" s="10">
        <v>55.75</v>
      </c>
      <c r="AB50" s="94">
        <v>14515500</v>
      </c>
      <c r="AC50" s="10">
        <v>55.37</v>
      </c>
      <c r="AD50" s="2">
        <f t="shared" si="0"/>
        <v>0.53000000000000114</v>
      </c>
      <c r="AE50" s="137">
        <f t="shared" si="1"/>
        <v>7.2293511657317566E-4</v>
      </c>
    </row>
    <row r="51" spans="2:31" x14ac:dyDescent="0.25">
      <c r="B51" s="377">
        <v>42484</v>
      </c>
      <c r="C51" s="399">
        <v>80</v>
      </c>
      <c r="D51" s="538">
        <v>48.573</v>
      </c>
      <c r="E51" s="379">
        <v>50.62</v>
      </c>
      <c r="F51" s="379">
        <f t="shared" si="11"/>
        <v>163.75999999999976</v>
      </c>
      <c r="G51" s="379">
        <f t="shared" si="12"/>
        <v>3885.84</v>
      </c>
      <c r="H51" s="380">
        <f t="shared" si="13"/>
        <v>4.214275420501095E-2</v>
      </c>
      <c r="I51" s="379"/>
      <c r="O51" s="2"/>
      <c r="P51" s="82">
        <v>0.99</v>
      </c>
      <c r="Q51" s="82">
        <f t="shared" si="14"/>
        <v>58.261499999999998</v>
      </c>
      <c r="R51" s="82"/>
      <c r="T51" s="86" t="s">
        <v>105</v>
      </c>
      <c r="U51" s="87" t="s">
        <v>678</v>
      </c>
      <c r="W51" s="93">
        <v>42725</v>
      </c>
      <c r="X51" s="10">
        <v>56.09</v>
      </c>
      <c r="Y51" s="10">
        <v>56.09</v>
      </c>
      <c r="Z51" s="10">
        <v>55.64</v>
      </c>
      <c r="AA51" s="10">
        <v>55.71</v>
      </c>
      <c r="AB51" s="94">
        <v>14058400</v>
      </c>
      <c r="AC51" s="10">
        <v>55.33</v>
      </c>
      <c r="AD51" s="2">
        <f t="shared" si="0"/>
        <v>0.45000000000000284</v>
      </c>
      <c r="AE51" s="137">
        <f t="shared" si="1"/>
        <v>-6.9992821249102999E-3</v>
      </c>
    </row>
    <row r="52" spans="2:31" x14ac:dyDescent="0.25">
      <c r="B52" s="377">
        <v>42487</v>
      </c>
      <c r="C52" s="399">
        <v>40</v>
      </c>
      <c r="D52" s="538">
        <v>46.177</v>
      </c>
      <c r="E52" s="379">
        <v>50.92</v>
      </c>
      <c r="F52" s="379">
        <f t="shared" si="11"/>
        <v>189.72000000000008</v>
      </c>
      <c r="G52" s="379">
        <f t="shared" si="12"/>
        <v>1847.08</v>
      </c>
      <c r="H52" s="380">
        <f t="shared" si="13"/>
        <v>0.10271347207484251</v>
      </c>
      <c r="I52" s="379"/>
      <c r="O52" s="2"/>
      <c r="P52" s="82">
        <v>0.98</v>
      </c>
      <c r="Q52" s="82">
        <f t="shared" si="14"/>
        <v>57.673000000000002</v>
      </c>
      <c r="R52" s="82"/>
      <c r="T52" s="86" t="s">
        <v>106</v>
      </c>
      <c r="U52" s="87" t="s">
        <v>679</v>
      </c>
      <c r="W52" s="93">
        <v>42724</v>
      </c>
      <c r="X52" s="10">
        <v>55.47</v>
      </c>
      <c r="Y52" s="10">
        <v>56.32</v>
      </c>
      <c r="Z52" s="10">
        <v>55.15</v>
      </c>
      <c r="AA52" s="10">
        <v>56.1</v>
      </c>
      <c r="AB52" s="94">
        <v>19245300</v>
      </c>
      <c r="AC52" s="10">
        <v>55.72</v>
      </c>
      <c r="AD52" s="2">
        <f t="shared" si="0"/>
        <v>1.1700000000000017</v>
      </c>
      <c r="AE52" s="137">
        <f t="shared" si="1"/>
        <v>1.5861440291704554E-2</v>
      </c>
    </row>
    <row r="53" spans="2:31" x14ac:dyDescent="0.25">
      <c r="B53" s="377">
        <v>42489</v>
      </c>
      <c r="C53" s="399">
        <v>80</v>
      </c>
      <c r="D53" s="538">
        <v>48.093499999999999</v>
      </c>
      <c r="E53" s="379">
        <v>49.98</v>
      </c>
      <c r="F53" s="379">
        <f t="shared" si="11"/>
        <v>150.91999999999985</v>
      </c>
      <c r="G53" s="379">
        <f t="shared" si="12"/>
        <v>3847.48</v>
      </c>
      <c r="H53" s="380">
        <f t="shared" si="13"/>
        <v>3.9225674987264349E-2</v>
      </c>
      <c r="I53" s="379"/>
      <c r="O53" s="2"/>
      <c r="P53" s="82">
        <v>0.97</v>
      </c>
      <c r="Q53" s="82">
        <f t="shared" si="14"/>
        <v>57.084499999999998</v>
      </c>
      <c r="R53" s="82"/>
      <c r="T53" s="86" t="s">
        <v>107</v>
      </c>
      <c r="U53" s="89">
        <v>14753743</v>
      </c>
      <c r="W53" s="93">
        <v>42723</v>
      </c>
      <c r="X53" s="10">
        <v>55.18</v>
      </c>
      <c r="Y53" s="10">
        <v>55.47</v>
      </c>
      <c r="Z53" s="10">
        <v>54.65</v>
      </c>
      <c r="AA53" s="10">
        <v>55.22</v>
      </c>
      <c r="AB53" s="94">
        <v>16801400</v>
      </c>
      <c r="AC53" s="10">
        <v>54.85</v>
      </c>
      <c r="AD53" s="2">
        <f t="shared" si="0"/>
        <v>0.82000000000000028</v>
      </c>
      <c r="AE53" s="137">
        <f t="shared" si="1"/>
        <v>-2.1830089139530662E-3</v>
      </c>
    </row>
    <row r="54" spans="2:31" x14ac:dyDescent="0.25">
      <c r="B54" s="377">
        <v>42502</v>
      </c>
      <c r="C54" s="399">
        <v>80</v>
      </c>
      <c r="D54" s="538">
        <v>48.093499999999999</v>
      </c>
      <c r="E54" s="379">
        <v>49.2</v>
      </c>
      <c r="F54" s="379">
        <f t="shared" si="11"/>
        <v>88.520000000000323</v>
      </c>
      <c r="G54" s="379">
        <f t="shared" si="12"/>
        <v>3847.48</v>
      </c>
      <c r="H54" s="380">
        <f t="shared" si="13"/>
        <v>2.3007267094305967E-2</v>
      </c>
      <c r="I54" s="379"/>
      <c r="O54" s="2"/>
      <c r="P54" s="82">
        <v>0.96</v>
      </c>
      <c r="Q54" s="82">
        <f t="shared" si="14"/>
        <v>56.496000000000002</v>
      </c>
      <c r="R54" s="82"/>
      <c r="T54" s="86" t="s">
        <v>110</v>
      </c>
      <c r="U54" s="89">
        <v>20516000</v>
      </c>
      <c r="W54" s="93">
        <v>42720</v>
      </c>
      <c r="X54" s="10">
        <v>55.49</v>
      </c>
      <c r="Y54" s="10">
        <v>55.65</v>
      </c>
      <c r="Z54" s="10">
        <v>54.92</v>
      </c>
      <c r="AA54" s="10">
        <v>55.34</v>
      </c>
      <c r="AB54" s="94">
        <v>33171800</v>
      </c>
      <c r="AC54" s="10">
        <v>54.97</v>
      </c>
      <c r="AD54" s="2">
        <f t="shared" si="0"/>
        <v>0.72999999999999687</v>
      </c>
      <c r="AE54" s="137">
        <f t="shared" si="1"/>
        <v>2.7362276541407216E-3</v>
      </c>
    </row>
    <row r="55" spans="2:31" x14ac:dyDescent="0.25">
      <c r="B55" s="377">
        <v>42503</v>
      </c>
      <c r="C55" s="399">
        <v>110</v>
      </c>
      <c r="D55" s="538">
        <v>48.122500000000002</v>
      </c>
      <c r="E55" s="379">
        <v>48.93</v>
      </c>
      <c r="F55" s="379">
        <f t="shared" si="11"/>
        <v>88.824999999999719</v>
      </c>
      <c r="G55" s="379">
        <f t="shared" si="12"/>
        <v>5293.4750000000004</v>
      </c>
      <c r="H55" s="380">
        <f t="shared" si="13"/>
        <v>1.678009247233617E-2</v>
      </c>
      <c r="I55" s="379"/>
      <c r="O55" s="2"/>
      <c r="P55" s="82">
        <v>0.95</v>
      </c>
      <c r="Q55" s="82">
        <f t="shared" si="14"/>
        <v>55.907499999999999</v>
      </c>
      <c r="R55" s="82"/>
      <c r="T55" s="86" t="s">
        <v>108</v>
      </c>
      <c r="U55" s="87" t="s">
        <v>680</v>
      </c>
      <c r="W55" s="93">
        <v>42719</v>
      </c>
      <c r="X55" s="10">
        <v>55.17</v>
      </c>
      <c r="Y55" s="10">
        <v>56.25</v>
      </c>
      <c r="Z55" s="10">
        <v>54.9</v>
      </c>
      <c r="AA55" s="10">
        <v>55.19</v>
      </c>
      <c r="AB55" s="94">
        <v>31345900</v>
      </c>
      <c r="AC55" s="10">
        <v>54.82</v>
      </c>
      <c r="AD55" s="2">
        <f t="shared" si="0"/>
        <v>1.3500000000000014</v>
      </c>
      <c r="AE55" s="137">
        <f>AC55/AC56-1</f>
        <v>9.0189582182955697E-3</v>
      </c>
    </row>
    <row r="56" spans="2:31" x14ac:dyDescent="0.25">
      <c r="B56" s="377">
        <v>42506</v>
      </c>
      <c r="C56" s="399">
        <v>110</v>
      </c>
      <c r="D56" s="538">
        <v>48.122999999999998</v>
      </c>
      <c r="E56" s="379">
        <v>48.27</v>
      </c>
      <c r="F56" s="379">
        <f t="shared" si="11"/>
        <v>16.170000000000613</v>
      </c>
      <c r="G56" s="379">
        <f t="shared" si="12"/>
        <v>5293.53</v>
      </c>
      <c r="H56" s="380">
        <f t="shared" si="13"/>
        <v>3.0546724019700679E-3</v>
      </c>
      <c r="I56" s="379"/>
      <c r="O56" s="2"/>
      <c r="P56" s="82">
        <v>0.94</v>
      </c>
      <c r="Q56" s="82">
        <f t="shared" si="14"/>
        <v>55.318999999999996</v>
      </c>
      <c r="R56" s="82"/>
      <c r="T56" s="86" t="s">
        <v>111</v>
      </c>
      <c r="U56" s="87">
        <v>14.76</v>
      </c>
      <c r="W56" s="93">
        <v>42718</v>
      </c>
      <c r="X56" s="10">
        <v>54.74</v>
      </c>
      <c r="Y56" s="10">
        <v>55.62</v>
      </c>
      <c r="Z56" s="10">
        <v>54.03</v>
      </c>
      <c r="AA56" s="10">
        <v>54.7</v>
      </c>
      <c r="AB56" s="94">
        <v>54590600</v>
      </c>
      <c r="AC56" s="10">
        <v>54.33</v>
      </c>
      <c r="AD56" s="2">
        <f t="shared" si="0"/>
        <v>1.5899999999999963</v>
      </c>
      <c r="AE56" s="137">
        <f t="shared" si="1"/>
        <v>-2.0375045077533405E-2</v>
      </c>
    </row>
    <row r="57" spans="2:31" x14ac:dyDescent="0.25">
      <c r="B57" s="377">
        <v>42507</v>
      </c>
      <c r="C57" s="399">
        <v>110</v>
      </c>
      <c r="D57" s="538">
        <v>48.122500000000002</v>
      </c>
      <c r="E57" s="379">
        <v>47.62</v>
      </c>
      <c r="F57" s="379">
        <f t="shared" si="11"/>
        <v>-55.275000000000531</v>
      </c>
      <c r="G57" s="379">
        <f t="shared" si="12"/>
        <v>5293.4750000000004</v>
      </c>
      <c r="H57" s="380">
        <f t="shared" si="13"/>
        <v>-1.0442100888357937E-2</v>
      </c>
      <c r="I57" s="379"/>
      <c r="O57" s="2"/>
      <c r="P57" s="82">
        <v>0.93</v>
      </c>
      <c r="Q57" s="82">
        <f t="shared" si="14"/>
        <v>54.730500000000006</v>
      </c>
      <c r="R57" s="82"/>
      <c r="T57" s="86" t="s">
        <v>112</v>
      </c>
      <c r="U57" s="87">
        <v>3.99</v>
      </c>
      <c r="W57" s="93">
        <v>42717</v>
      </c>
      <c r="X57" s="10">
        <v>55.85</v>
      </c>
      <c r="Y57" s="10">
        <v>56.21</v>
      </c>
      <c r="Z57" s="10">
        <v>55.29</v>
      </c>
      <c r="AA57" s="10">
        <v>55.84</v>
      </c>
      <c r="AB57" s="94">
        <v>24355600</v>
      </c>
      <c r="AC57" s="10">
        <v>55.46</v>
      </c>
      <c r="AD57" s="2">
        <f t="shared" si="0"/>
        <v>0.92000000000000171</v>
      </c>
      <c r="AE57" s="137">
        <f t="shared" si="1"/>
        <v>1.0830324909747446E-3</v>
      </c>
    </row>
    <row r="58" spans="2:31" x14ac:dyDescent="0.25">
      <c r="B58" s="377">
        <v>42514</v>
      </c>
      <c r="C58" s="399">
        <v>70</v>
      </c>
      <c r="D58" s="538">
        <v>47.456000000000003</v>
      </c>
      <c r="E58" s="379">
        <v>49.2</v>
      </c>
      <c r="F58" s="379">
        <f t="shared" si="11"/>
        <v>122.07999999999998</v>
      </c>
      <c r="G58" s="379">
        <f t="shared" si="12"/>
        <v>3321.92</v>
      </c>
      <c r="H58" s="380">
        <f t="shared" si="13"/>
        <v>3.6749831422791632E-2</v>
      </c>
      <c r="I58" s="379"/>
      <c r="O58" s="2"/>
      <c r="P58" s="82">
        <v>0.92</v>
      </c>
      <c r="Q58" s="82">
        <f t="shared" si="14"/>
        <v>54.142000000000003</v>
      </c>
      <c r="R58" s="82"/>
      <c r="T58" s="86" t="s">
        <v>109</v>
      </c>
      <c r="U58" s="87" t="s">
        <v>681</v>
      </c>
      <c r="W58" s="93">
        <v>42716</v>
      </c>
      <c r="X58" s="10">
        <v>56.5</v>
      </c>
      <c r="Y58" s="10">
        <v>57.1</v>
      </c>
      <c r="Z58" s="10">
        <v>55.55</v>
      </c>
      <c r="AA58" s="10">
        <v>55.78</v>
      </c>
      <c r="AB58" s="94">
        <v>27886200</v>
      </c>
      <c r="AC58" s="10">
        <v>55.4</v>
      </c>
      <c r="AD58" s="2">
        <f t="shared" si="0"/>
        <v>1.5500000000000043</v>
      </c>
      <c r="AE58" s="137">
        <f t="shared" si="1"/>
        <v>-2.3788546255506637E-2</v>
      </c>
    </row>
    <row r="59" spans="2:31" x14ac:dyDescent="0.25">
      <c r="B59" s="377">
        <v>42522</v>
      </c>
      <c r="C59" s="399">
        <v>50</v>
      </c>
      <c r="D59" s="538">
        <v>46.150799999999997</v>
      </c>
      <c r="E59" s="379">
        <v>51</v>
      </c>
      <c r="F59" s="379">
        <f t="shared" si="11"/>
        <v>242.46000000000015</v>
      </c>
      <c r="G59" s="379">
        <f t="shared" si="12"/>
        <v>2307.54</v>
      </c>
      <c r="H59" s="380">
        <f t="shared" si="13"/>
        <v>0.10507293481369778</v>
      </c>
      <c r="I59" s="379"/>
      <c r="O59" s="2"/>
      <c r="P59" s="82">
        <v>0.91</v>
      </c>
      <c r="Q59" s="82">
        <f t="shared" si="14"/>
        <v>53.5535</v>
      </c>
      <c r="R59" s="82"/>
      <c r="W59" s="93">
        <v>42713</v>
      </c>
      <c r="X59" s="10">
        <v>56.91</v>
      </c>
      <c r="Y59" s="10">
        <v>57.24</v>
      </c>
      <c r="Z59" s="10">
        <v>56.49</v>
      </c>
      <c r="AA59" s="10">
        <v>57.14</v>
      </c>
      <c r="AB59" s="94">
        <v>20331200</v>
      </c>
      <c r="AC59" s="10">
        <v>56.75</v>
      </c>
      <c r="AD59" s="2">
        <f t="shared" si="0"/>
        <v>0.75</v>
      </c>
      <c r="AE59" s="137">
        <f t="shared" si="1"/>
        <v>-2.6362038664322629E-3</v>
      </c>
    </row>
    <row r="60" spans="2:31" x14ac:dyDescent="0.25">
      <c r="B60" s="377">
        <v>42524</v>
      </c>
      <c r="C60" s="399">
        <v>80</v>
      </c>
      <c r="D60" s="538">
        <v>47.218000000000004</v>
      </c>
      <c r="E60" s="379">
        <v>50.19</v>
      </c>
      <c r="F60" s="379">
        <f t="shared" si="11"/>
        <v>237.75999999999954</v>
      </c>
      <c r="G60" s="379">
        <f t="shared" si="12"/>
        <v>3777.4400000000005</v>
      </c>
      <c r="H60" s="380">
        <f t="shared" si="13"/>
        <v>6.2942098352323145E-2</v>
      </c>
      <c r="I60" s="379"/>
      <c r="O60" s="2"/>
      <c r="P60" s="82">
        <v>0.9</v>
      </c>
      <c r="Q60" s="82">
        <f t="shared" si="14"/>
        <v>52.965000000000003</v>
      </c>
      <c r="R60" s="82"/>
      <c r="W60" s="93">
        <v>42712</v>
      </c>
      <c r="X60" s="10">
        <v>57.29</v>
      </c>
      <c r="Y60" s="10">
        <v>58.02</v>
      </c>
      <c r="Z60" s="10">
        <v>56.71</v>
      </c>
      <c r="AA60" s="10">
        <v>57.29</v>
      </c>
      <c r="AB60" s="94">
        <v>39828600</v>
      </c>
      <c r="AC60" s="10">
        <v>56.9</v>
      </c>
      <c r="AD60" s="2">
        <f t="shared" si="0"/>
        <v>1.3100000000000023</v>
      </c>
      <c r="AE60" s="137">
        <f t="shared" si="1"/>
        <v>1.7577781683941751E-4</v>
      </c>
    </row>
    <row r="61" spans="2:31" x14ac:dyDescent="0.25">
      <c r="B61" s="377">
        <v>42527</v>
      </c>
      <c r="C61" s="399">
        <v>50</v>
      </c>
      <c r="D61" s="538">
        <v>45.195399999999999</v>
      </c>
      <c r="E61" s="379">
        <v>50.49</v>
      </c>
      <c r="F61" s="379">
        <f t="shared" si="11"/>
        <v>264.73000000000013</v>
      </c>
      <c r="G61" s="379">
        <f t="shared" si="12"/>
        <v>2259.77</v>
      </c>
      <c r="H61" s="380">
        <f t="shared" si="13"/>
        <v>0.11714909039415522</v>
      </c>
      <c r="I61" s="379"/>
      <c r="W61" s="93">
        <v>42711</v>
      </c>
      <c r="X61" s="10">
        <v>55.55</v>
      </c>
      <c r="Y61" s="10">
        <v>57.29</v>
      </c>
      <c r="Z61" s="10">
        <v>55.23</v>
      </c>
      <c r="AA61" s="10">
        <v>57.28</v>
      </c>
      <c r="AB61" s="94">
        <v>46617000</v>
      </c>
      <c r="AC61" s="10">
        <v>56.89</v>
      </c>
      <c r="AD61" s="2">
        <f t="shared" si="0"/>
        <v>2.0600000000000023</v>
      </c>
      <c r="AE61" s="137">
        <f t="shared" si="1"/>
        <v>3.0989488945269983E-2</v>
      </c>
    </row>
    <row r="62" spans="2:31" x14ac:dyDescent="0.25">
      <c r="B62" s="377">
        <v>42531</v>
      </c>
      <c r="C62" s="399">
        <v>80</v>
      </c>
      <c r="D62" s="538">
        <v>46.438400000000001</v>
      </c>
      <c r="E62" s="379">
        <v>48.34</v>
      </c>
      <c r="F62" s="379">
        <f t="shared" si="11"/>
        <v>152.12800000000016</v>
      </c>
      <c r="G62" s="379">
        <f t="shared" si="12"/>
        <v>3715.0720000000001</v>
      </c>
      <c r="H62" s="380">
        <f t="shared" si="13"/>
        <v>4.0948869900771817E-2</v>
      </c>
      <c r="I62" s="379"/>
      <c r="W62" s="93">
        <v>42710</v>
      </c>
      <c r="X62" s="10">
        <v>54.45</v>
      </c>
      <c r="Y62" s="10">
        <v>55.57</v>
      </c>
      <c r="Z62" s="10">
        <v>54.22</v>
      </c>
      <c r="AA62" s="10">
        <v>55.55</v>
      </c>
      <c r="AB62" s="94">
        <v>30706700</v>
      </c>
      <c r="AC62" s="10">
        <v>55.18</v>
      </c>
      <c r="AD62" s="2">
        <f t="shared" si="0"/>
        <v>1.3500000000000014</v>
      </c>
      <c r="AE62" s="137">
        <f t="shared" si="1"/>
        <v>2.2230455724342457E-2</v>
      </c>
    </row>
    <row r="63" spans="2:31" x14ac:dyDescent="0.25">
      <c r="B63" s="377">
        <v>42535</v>
      </c>
      <c r="C63" s="399">
        <v>80</v>
      </c>
      <c r="D63" s="538">
        <v>46.438000000000002</v>
      </c>
      <c r="E63" s="379">
        <v>46.88</v>
      </c>
      <c r="F63" s="379">
        <f t="shared" si="11"/>
        <v>35.360000000000014</v>
      </c>
      <c r="G63" s="379">
        <f t="shared" si="12"/>
        <v>3715.04</v>
      </c>
      <c r="H63" s="380">
        <f t="shared" si="13"/>
        <v>9.5180671002196501E-3</v>
      </c>
      <c r="I63" s="379"/>
      <c r="W63" s="93">
        <v>42709</v>
      </c>
      <c r="X63" s="10">
        <v>53.9</v>
      </c>
      <c r="Y63" s="10">
        <v>54.53</v>
      </c>
      <c r="Z63" s="10">
        <v>53.87</v>
      </c>
      <c r="AA63" s="10">
        <v>54.35</v>
      </c>
      <c r="AB63" s="94">
        <v>24793900</v>
      </c>
      <c r="AC63" s="10">
        <v>53.98</v>
      </c>
      <c r="AD63" s="2">
        <f t="shared" si="0"/>
        <v>0.66000000000000369</v>
      </c>
      <c r="AE63" s="137">
        <f t="shared" si="1"/>
        <v>1.4280345734686062E-2</v>
      </c>
    </row>
    <row r="64" spans="2:31" x14ac:dyDescent="0.25">
      <c r="B64" s="377">
        <v>42549</v>
      </c>
      <c r="C64" s="378">
        <v>80</v>
      </c>
      <c r="D64" s="383">
        <v>46.438000000000002</v>
      </c>
      <c r="E64" s="379">
        <v>46.1</v>
      </c>
      <c r="F64" s="379">
        <f t="shared" ref="F64:F82" si="15">C64*(E64-D64)</f>
        <v>-27.040000000000077</v>
      </c>
      <c r="G64" s="379">
        <f t="shared" ref="G64:G82" si="16">D64*C64</f>
        <v>3715.04</v>
      </c>
      <c r="H64" s="380">
        <f t="shared" ref="H64:H82" si="17">(E64-D64)/D64</f>
        <v>-7.2785219001679866E-3</v>
      </c>
      <c r="I64" s="466">
        <v>45</v>
      </c>
      <c r="W64" s="93">
        <v>42706</v>
      </c>
      <c r="X64" s="10">
        <v>54.24</v>
      </c>
      <c r="Y64" s="10">
        <v>54.27</v>
      </c>
      <c r="Z64" s="10">
        <v>53.31</v>
      </c>
      <c r="AA64" s="10">
        <v>53.58</v>
      </c>
      <c r="AB64" s="94">
        <v>21894700</v>
      </c>
      <c r="AC64" s="10">
        <v>53.22</v>
      </c>
      <c r="AD64" s="2">
        <f t="shared" si="0"/>
        <v>0.96000000000000085</v>
      </c>
      <c r="AE64" s="137">
        <f t="shared" si="1"/>
        <v>-1.3896609227348478E-2</v>
      </c>
    </row>
    <row r="65" spans="2:31" x14ac:dyDescent="0.25">
      <c r="B65" s="377">
        <v>42552</v>
      </c>
      <c r="C65" s="378">
        <v>80</v>
      </c>
      <c r="D65" s="383">
        <v>46.438400000000001</v>
      </c>
      <c r="E65" s="379">
        <v>47.03</v>
      </c>
      <c r="F65" s="379">
        <f t="shared" si="15"/>
        <v>47.327999999999975</v>
      </c>
      <c r="G65" s="379">
        <f t="shared" si="16"/>
        <v>3715.0720000000001</v>
      </c>
      <c r="H65" s="380">
        <f t="shared" si="17"/>
        <v>1.2739457001102529E-2</v>
      </c>
      <c r="I65" s="379"/>
      <c r="W65" s="93">
        <v>42705</v>
      </c>
      <c r="X65" s="10">
        <v>53.13</v>
      </c>
      <c r="Y65" s="10">
        <v>54.47</v>
      </c>
      <c r="Z65" s="10">
        <v>53.06</v>
      </c>
      <c r="AA65" s="10">
        <v>54.34</v>
      </c>
      <c r="AB65" s="94">
        <v>35623100</v>
      </c>
      <c r="AC65" s="10">
        <v>53.97</v>
      </c>
      <c r="AD65" s="2">
        <f t="shared" si="0"/>
        <v>1.4099999999999966</v>
      </c>
      <c r="AE65" s="137">
        <f t="shared" si="1"/>
        <v>2.6826484018264818E-2</v>
      </c>
    </row>
    <row r="66" spans="2:31" x14ac:dyDescent="0.25">
      <c r="B66" s="377">
        <v>42556</v>
      </c>
      <c r="C66" s="378">
        <v>80</v>
      </c>
      <c r="D66" s="383">
        <v>46.438400000000001</v>
      </c>
      <c r="E66" s="379">
        <v>46.21</v>
      </c>
      <c r="F66" s="379">
        <f t="shared" si="15"/>
        <v>-18.272000000000048</v>
      </c>
      <c r="G66" s="379">
        <f t="shared" si="16"/>
        <v>3715.0720000000001</v>
      </c>
      <c r="H66" s="380">
        <f t="shared" si="17"/>
        <v>-4.9183434399118096E-3</v>
      </c>
      <c r="I66" s="379"/>
      <c r="W66" s="93">
        <v>42704</v>
      </c>
      <c r="X66" s="10">
        <v>52.48</v>
      </c>
      <c r="Y66" s="10">
        <v>53.16</v>
      </c>
      <c r="Z66" s="10">
        <v>52.3</v>
      </c>
      <c r="AA66" s="10">
        <v>52.92</v>
      </c>
      <c r="AB66" s="94">
        <v>26567200</v>
      </c>
      <c r="AC66" s="10">
        <v>52.56</v>
      </c>
      <c r="AD66" s="2">
        <f t="shared" si="0"/>
        <v>0.85999999999999943</v>
      </c>
      <c r="AE66" s="137">
        <f t="shared" si="1"/>
        <v>2.0384391380314559E-2</v>
      </c>
    </row>
    <row r="67" spans="2:31" x14ac:dyDescent="0.25">
      <c r="B67" s="377">
        <v>42562</v>
      </c>
      <c r="C67" s="378">
        <v>80</v>
      </c>
      <c r="D67" s="383">
        <v>46.438400000000001</v>
      </c>
      <c r="E67" s="379">
        <v>48.08</v>
      </c>
      <c r="F67" s="379">
        <f t="shared" si="15"/>
        <v>131.32799999999975</v>
      </c>
      <c r="G67" s="379">
        <f t="shared" si="16"/>
        <v>3715.0720000000001</v>
      </c>
      <c r="H67" s="380">
        <f t="shared" si="17"/>
        <v>3.5350055126791555E-2</v>
      </c>
      <c r="I67" s="379"/>
      <c r="W67" s="93">
        <v>42703</v>
      </c>
      <c r="X67" s="10">
        <v>51.56</v>
      </c>
      <c r="Y67" s="10">
        <v>52.13</v>
      </c>
      <c r="Z67" s="10">
        <v>51.56</v>
      </c>
      <c r="AA67" s="10">
        <v>51.86</v>
      </c>
      <c r="AB67" s="94">
        <v>16267300</v>
      </c>
      <c r="AC67" s="10">
        <v>51.51</v>
      </c>
      <c r="AD67" s="2">
        <f t="shared" si="0"/>
        <v>0.57000000000000028</v>
      </c>
      <c r="AE67" s="137" t="e">
        <f>AC67/#REF!-1</f>
        <v>#REF!</v>
      </c>
    </row>
    <row r="68" spans="2:31" x14ac:dyDescent="0.25">
      <c r="B68" s="377">
        <v>42563</v>
      </c>
      <c r="C68" s="378">
        <v>80</v>
      </c>
      <c r="D68" s="383">
        <v>46.438400000000001</v>
      </c>
      <c r="E68" s="379">
        <v>48.35</v>
      </c>
      <c r="F68" s="379">
        <f t="shared" si="15"/>
        <v>152.928</v>
      </c>
      <c r="G68" s="379">
        <f t="shared" si="16"/>
        <v>3715.0720000000001</v>
      </c>
      <c r="H68" s="380">
        <f t="shared" si="17"/>
        <v>4.1164208930540243E-2</v>
      </c>
      <c r="I68" s="379"/>
      <c r="W68" s="93">
        <v>42702</v>
      </c>
      <c r="X68" s="10">
        <v>52.12</v>
      </c>
      <c r="Y68" s="10">
        <v>52.48</v>
      </c>
      <c r="Z68" s="10">
        <v>51.39</v>
      </c>
      <c r="AA68" s="10">
        <v>51.58</v>
      </c>
      <c r="AB68" s="94">
        <v>26518500</v>
      </c>
      <c r="AC68" s="10">
        <v>51.23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42566</v>
      </c>
      <c r="C69" s="399">
        <v>110</v>
      </c>
      <c r="D69" s="538">
        <v>46.749699999999997</v>
      </c>
      <c r="E69" s="379">
        <v>47.71</v>
      </c>
      <c r="F69" s="379">
        <f t="shared" si="15"/>
        <v>105.63300000000041</v>
      </c>
      <c r="G69" s="379">
        <f t="shared" si="16"/>
        <v>5142.4669999999996</v>
      </c>
      <c r="H69" s="380">
        <f t="shared" si="17"/>
        <v>2.0541308286470369E-2</v>
      </c>
      <c r="I69" s="379" t="s">
        <v>242</v>
      </c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42569</v>
      </c>
      <c r="C70" s="378">
        <v>110</v>
      </c>
      <c r="D70" s="383">
        <v>46.749699999999997</v>
      </c>
      <c r="E70" s="379">
        <v>48.28</v>
      </c>
      <c r="F70" s="379">
        <f t="shared" si="15"/>
        <v>168.33300000000042</v>
      </c>
      <c r="G70" s="379">
        <f t="shared" si="16"/>
        <v>5142.4669999999996</v>
      </c>
      <c r="H70" s="380">
        <f t="shared" si="17"/>
        <v>3.2733899896683918E-2</v>
      </c>
      <c r="I70" s="379"/>
    </row>
    <row r="71" spans="2:31" x14ac:dyDescent="0.25">
      <c r="B71" s="377">
        <v>42570</v>
      </c>
      <c r="C71" s="378">
        <v>110</v>
      </c>
      <c r="D71" s="383">
        <v>46.749699999999997</v>
      </c>
      <c r="E71" s="379">
        <v>48.37</v>
      </c>
      <c r="F71" s="379">
        <f t="shared" si="15"/>
        <v>178.23300000000003</v>
      </c>
      <c r="G71" s="379">
        <f t="shared" si="16"/>
        <v>5142.4669999999996</v>
      </c>
      <c r="H71" s="380">
        <f t="shared" si="17"/>
        <v>3.4659045940401763E-2</v>
      </c>
      <c r="I71" s="379"/>
    </row>
    <row r="72" spans="2:31" x14ac:dyDescent="0.25">
      <c r="B72" s="377">
        <v>42571</v>
      </c>
      <c r="C72" s="378">
        <v>110</v>
      </c>
      <c r="D72" s="383">
        <v>46.749699999999997</v>
      </c>
      <c r="E72" s="379">
        <v>48.61</v>
      </c>
      <c r="F72" s="379">
        <f t="shared" si="15"/>
        <v>204.63300000000027</v>
      </c>
      <c r="G72" s="379">
        <f t="shared" si="16"/>
        <v>5142.4669999999996</v>
      </c>
      <c r="H72" s="380">
        <f t="shared" si="17"/>
        <v>3.9792768723649612E-2</v>
      </c>
      <c r="I72" s="379"/>
    </row>
    <row r="73" spans="2:31" x14ac:dyDescent="0.25">
      <c r="B73" s="377">
        <v>42572</v>
      </c>
      <c r="C73" s="378">
        <v>110</v>
      </c>
      <c r="D73" s="383">
        <v>46.749699999999997</v>
      </c>
      <c r="E73" s="379">
        <v>48.3</v>
      </c>
      <c r="F73" s="379">
        <f t="shared" si="15"/>
        <v>170.53300000000002</v>
      </c>
      <c r="G73" s="379">
        <f t="shared" si="16"/>
        <v>5142.4669999999996</v>
      </c>
      <c r="H73" s="380">
        <f t="shared" si="17"/>
        <v>3.3161710128621145E-2</v>
      </c>
      <c r="I73" s="379"/>
    </row>
    <row r="74" spans="2:31" x14ac:dyDescent="0.25">
      <c r="B74" s="377">
        <v>42576</v>
      </c>
      <c r="C74" s="378">
        <v>110</v>
      </c>
      <c r="D74" s="383">
        <v>46.749699999999997</v>
      </c>
      <c r="E74" s="379">
        <v>48.12</v>
      </c>
      <c r="F74" s="379">
        <f t="shared" si="15"/>
        <v>150.73300000000003</v>
      </c>
      <c r="G74" s="379">
        <f t="shared" si="16"/>
        <v>5142.4669999999996</v>
      </c>
      <c r="H74" s="380">
        <f t="shared" si="17"/>
        <v>2.9311418041185301E-2</v>
      </c>
      <c r="I74" s="379"/>
    </row>
    <row r="75" spans="2:31" x14ac:dyDescent="0.25">
      <c r="B75" s="377">
        <v>42585</v>
      </c>
      <c r="C75" s="378">
        <v>110</v>
      </c>
      <c r="D75" s="383">
        <v>46.749699999999997</v>
      </c>
      <c r="E75" s="379">
        <v>47.7</v>
      </c>
      <c r="F75" s="379">
        <f t="shared" si="15"/>
        <v>104.53300000000063</v>
      </c>
      <c r="G75" s="379">
        <f t="shared" si="16"/>
        <v>5142.4669999999996</v>
      </c>
      <c r="H75" s="380">
        <f t="shared" si="17"/>
        <v>2.0327403170501752E-2</v>
      </c>
      <c r="I75" s="379"/>
    </row>
    <row r="76" spans="2:31" x14ac:dyDescent="0.25">
      <c r="B76" s="377">
        <v>42587</v>
      </c>
      <c r="C76" s="378">
        <v>80</v>
      </c>
      <c r="D76" s="383">
        <v>46.025700000000001</v>
      </c>
      <c r="E76" s="379">
        <v>48.43</v>
      </c>
      <c r="F76" s="379">
        <f t="shared" si="15"/>
        <v>192.34399999999994</v>
      </c>
      <c r="G76" s="379">
        <f t="shared" si="16"/>
        <v>3682.056</v>
      </c>
      <c r="H76" s="380">
        <f t="shared" si="17"/>
        <v>5.2238206045752682E-2</v>
      </c>
      <c r="I76" s="379"/>
    </row>
    <row r="77" spans="2:31" x14ac:dyDescent="0.25">
      <c r="B77" s="377">
        <v>42600</v>
      </c>
      <c r="C77" s="378">
        <v>80</v>
      </c>
      <c r="D77" s="383">
        <v>46.026000000000003</v>
      </c>
      <c r="E77" s="379">
        <v>48.53</v>
      </c>
      <c r="F77" s="379">
        <f t="shared" si="15"/>
        <v>200.31999999999982</v>
      </c>
      <c r="G77" s="379">
        <f t="shared" si="16"/>
        <v>3682.0800000000004</v>
      </c>
      <c r="H77" s="380">
        <f t="shared" si="17"/>
        <v>5.4404032503367609E-2</v>
      </c>
      <c r="I77" s="379"/>
    </row>
    <row r="78" spans="2:31" x14ac:dyDescent="0.25">
      <c r="B78" s="377">
        <v>42601</v>
      </c>
      <c r="C78" s="378">
        <v>80</v>
      </c>
      <c r="D78" s="383">
        <v>46.026000000000003</v>
      </c>
      <c r="E78" s="379">
        <v>48.65</v>
      </c>
      <c r="F78" s="379">
        <f t="shared" si="15"/>
        <v>209.91999999999962</v>
      </c>
      <c r="G78" s="379">
        <f t="shared" si="16"/>
        <v>3682.0800000000004</v>
      </c>
      <c r="H78" s="380">
        <f t="shared" si="17"/>
        <v>5.7011254508321278E-2</v>
      </c>
      <c r="I78" s="379"/>
    </row>
    <row r="79" spans="2:31" x14ac:dyDescent="0.25">
      <c r="B79" s="377">
        <v>42605</v>
      </c>
      <c r="C79" s="378">
        <v>80</v>
      </c>
      <c r="D79" s="383">
        <v>46.026000000000003</v>
      </c>
      <c r="E79" s="379">
        <v>48.41</v>
      </c>
      <c r="F79" s="379">
        <f t="shared" si="15"/>
        <v>190.71999999999946</v>
      </c>
      <c r="G79" s="379">
        <f t="shared" si="16"/>
        <v>3682.0800000000004</v>
      </c>
      <c r="H79" s="380">
        <f t="shared" si="17"/>
        <v>5.1796810498413788E-2</v>
      </c>
      <c r="I79" s="379"/>
    </row>
    <row r="80" spans="2:31" x14ac:dyDescent="0.25">
      <c r="B80" s="377">
        <v>42606</v>
      </c>
      <c r="C80" s="378">
        <v>80</v>
      </c>
      <c r="D80" s="383">
        <v>46.026000000000003</v>
      </c>
      <c r="E80" s="379">
        <v>48.63</v>
      </c>
      <c r="F80" s="379">
        <f t="shared" si="15"/>
        <v>208.31999999999994</v>
      </c>
      <c r="G80" s="379">
        <f t="shared" si="16"/>
        <v>3682.0800000000004</v>
      </c>
      <c r="H80" s="380">
        <f t="shared" si="17"/>
        <v>5.6576717507495738E-2</v>
      </c>
      <c r="I80" s="379"/>
    </row>
    <row r="81" spans="2:9" x14ac:dyDescent="0.25">
      <c r="B81" s="377">
        <v>42607</v>
      </c>
      <c r="C81" s="378">
        <v>80</v>
      </c>
      <c r="D81" s="383">
        <v>46.026000000000003</v>
      </c>
      <c r="E81" s="379">
        <v>48.38</v>
      </c>
      <c r="F81" s="379">
        <f t="shared" si="15"/>
        <v>188.31999999999994</v>
      </c>
      <c r="G81" s="379">
        <f t="shared" si="16"/>
        <v>3682.0800000000004</v>
      </c>
      <c r="H81" s="380">
        <f t="shared" si="17"/>
        <v>5.1145004997175489E-2</v>
      </c>
      <c r="I81" s="379"/>
    </row>
    <row r="82" spans="2:9" x14ac:dyDescent="0.25">
      <c r="B82" s="377">
        <v>42608</v>
      </c>
      <c r="C82" s="378">
        <v>80</v>
      </c>
      <c r="D82" s="383">
        <v>46.026000000000003</v>
      </c>
      <c r="E82" s="379">
        <v>48.51</v>
      </c>
      <c r="F82" s="379">
        <f t="shared" si="15"/>
        <v>198.71999999999957</v>
      </c>
      <c r="G82" s="379">
        <f t="shared" si="16"/>
        <v>3682.0800000000004</v>
      </c>
      <c r="H82" s="380">
        <f t="shared" si="17"/>
        <v>5.3969495502541924E-2</v>
      </c>
      <c r="I82" s="379"/>
    </row>
    <row r="83" spans="2:9" x14ac:dyDescent="0.25">
      <c r="B83" s="377">
        <v>42611</v>
      </c>
      <c r="C83" s="378">
        <v>0</v>
      </c>
      <c r="D83" s="383"/>
      <c r="E83" s="379"/>
      <c r="F83" s="379">
        <v>294.61</v>
      </c>
      <c r="G83" s="379"/>
      <c r="H83" s="380"/>
      <c r="I83" s="379"/>
    </row>
    <row r="84" spans="2:9" x14ac:dyDescent="0.25">
      <c r="B84" s="192"/>
      <c r="C84" s="10"/>
      <c r="D84" s="199"/>
      <c r="E84" s="40"/>
      <c r="F84" s="40"/>
      <c r="G84" s="40"/>
      <c r="H84" s="230"/>
      <c r="I84" s="40"/>
    </row>
    <row r="85" spans="2:9" x14ac:dyDescent="0.25">
      <c r="B85" s="192"/>
      <c r="C85" s="10"/>
      <c r="D85" s="199"/>
      <c r="E85" s="40"/>
      <c r="F85" s="40"/>
      <c r="G85" s="40"/>
      <c r="H85" s="230"/>
      <c r="I85" s="40"/>
    </row>
    <row r="86" spans="2:9" x14ac:dyDescent="0.25">
      <c r="B86" s="190" t="s">
        <v>114</v>
      </c>
      <c r="C86" s="190" t="s">
        <v>147</v>
      </c>
      <c r="D86" s="191" t="s">
        <v>146</v>
      </c>
      <c r="E86" s="193" t="s">
        <v>148</v>
      </c>
      <c r="F86" s="193" t="s">
        <v>65</v>
      </c>
      <c r="G86" s="228" t="s">
        <v>152</v>
      </c>
      <c r="H86" s="228" t="s">
        <v>88</v>
      </c>
      <c r="I86" s="228" t="s">
        <v>155</v>
      </c>
    </row>
    <row r="87" spans="2:9" x14ac:dyDescent="0.25">
      <c r="B87" s="265">
        <v>42627</v>
      </c>
      <c r="C87" s="260">
        <v>40</v>
      </c>
      <c r="D87" s="529">
        <v>46.47</v>
      </c>
      <c r="E87" s="261">
        <v>46.52</v>
      </c>
      <c r="F87" s="261">
        <f t="shared" ref="F87:F100" si="18">C87*(E87-D87)</f>
        <v>2.0000000000001705</v>
      </c>
      <c r="G87" s="261">
        <f t="shared" ref="G87:G100" si="19">D87*C87</f>
        <v>1858.8</v>
      </c>
      <c r="H87" s="275">
        <f t="shared" ref="H87:H100" si="20">(E87-D87)/D87</f>
        <v>1.0759629868733434E-3</v>
      </c>
      <c r="I87" s="261"/>
    </row>
    <row r="88" spans="2:9" x14ac:dyDescent="0.25">
      <c r="B88" s="265">
        <v>42629</v>
      </c>
      <c r="C88" s="260">
        <v>40</v>
      </c>
      <c r="D88" s="529">
        <v>46.47</v>
      </c>
      <c r="E88" s="261">
        <v>45.43</v>
      </c>
      <c r="F88" s="261">
        <f t="shared" si="18"/>
        <v>-41.599999999999966</v>
      </c>
      <c r="G88" s="261">
        <f t="shared" si="19"/>
        <v>1858.8</v>
      </c>
      <c r="H88" s="275">
        <f t="shared" si="20"/>
        <v>-2.2380030126963615E-2</v>
      </c>
      <c r="I88" s="261"/>
    </row>
    <row r="89" spans="2:9" x14ac:dyDescent="0.25">
      <c r="B89" s="265">
        <v>42632</v>
      </c>
      <c r="C89" s="260">
        <v>40</v>
      </c>
      <c r="D89" s="529">
        <v>46.47</v>
      </c>
      <c r="E89" s="261">
        <v>46.01</v>
      </c>
      <c r="F89" s="261">
        <f t="shared" si="18"/>
        <v>-18.400000000000034</v>
      </c>
      <c r="G89" s="261">
        <f t="shared" si="19"/>
        <v>1858.8</v>
      </c>
      <c r="H89" s="275">
        <f t="shared" si="20"/>
        <v>-9.8988594792339332E-3</v>
      </c>
      <c r="I89" s="261"/>
    </row>
    <row r="90" spans="2:9" x14ac:dyDescent="0.25">
      <c r="B90" s="265">
        <v>42633</v>
      </c>
      <c r="C90" s="260">
        <v>40</v>
      </c>
      <c r="D90" s="529">
        <v>46.47</v>
      </c>
      <c r="E90" s="261">
        <v>46.5</v>
      </c>
      <c r="F90" s="261">
        <f t="shared" si="18"/>
        <v>1.2000000000000455</v>
      </c>
      <c r="G90" s="261">
        <f t="shared" si="19"/>
        <v>1858.8</v>
      </c>
      <c r="H90" s="275">
        <f t="shared" si="20"/>
        <v>6.455777921239754E-4</v>
      </c>
      <c r="I90" s="261"/>
    </row>
    <row r="91" spans="2:9" x14ac:dyDescent="0.25">
      <c r="B91" s="265">
        <v>42634</v>
      </c>
      <c r="C91" s="260">
        <v>40</v>
      </c>
      <c r="D91" s="529">
        <v>46.47</v>
      </c>
      <c r="E91" s="261">
        <v>45.83</v>
      </c>
      <c r="F91" s="261">
        <f t="shared" si="18"/>
        <v>-25.600000000000023</v>
      </c>
      <c r="G91" s="261">
        <f t="shared" si="19"/>
        <v>1858.8</v>
      </c>
      <c r="H91" s="275">
        <f t="shared" si="20"/>
        <v>-1.3772326231977633E-2</v>
      </c>
      <c r="I91" s="261"/>
    </row>
    <row r="92" spans="2:9" x14ac:dyDescent="0.25">
      <c r="B92" s="265">
        <v>42639</v>
      </c>
      <c r="C92" s="260">
        <v>80</v>
      </c>
      <c r="D92" s="529">
        <v>45.634999999999998</v>
      </c>
      <c r="E92" s="261">
        <v>44.88</v>
      </c>
      <c r="F92" s="261">
        <f t="shared" si="18"/>
        <v>-60.399999999999636</v>
      </c>
      <c r="G92" s="261">
        <f t="shared" si="19"/>
        <v>3650.7999999999997</v>
      </c>
      <c r="H92" s="275">
        <f t="shared" si="20"/>
        <v>-1.654431905335807E-2</v>
      </c>
      <c r="I92" s="261"/>
    </row>
    <row r="93" spans="2:9" x14ac:dyDescent="0.25">
      <c r="B93" s="265">
        <v>42646</v>
      </c>
      <c r="C93" s="260">
        <v>80</v>
      </c>
      <c r="D93" s="529">
        <v>45.634999999999998</v>
      </c>
      <c r="E93" s="261">
        <v>43.83</v>
      </c>
      <c r="F93" s="261">
        <f t="shared" si="18"/>
        <v>-144.39999999999998</v>
      </c>
      <c r="G93" s="261">
        <f t="shared" si="19"/>
        <v>3650.7999999999997</v>
      </c>
      <c r="H93" s="275">
        <f t="shared" si="20"/>
        <v>-3.9552974690478797E-2</v>
      </c>
      <c r="I93" s="261"/>
    </row>
    <row r="94" spans="2:9" x14ac:dyDescent="0.25">
      <c r="B94" s="265">
        <v>42648</v>
      </c>
      <c r="C94" s="260">
        <v>80</v>
      </c>
      <c r="D94" s="529">
        <v>45.634999999999998</v>
      </c>
      <c r="E94" s="261">
        <v>44.99</v>
      </c>
      <c r="F94" s="261">
        <f t="shared" si="18"/>
        <v>-51.599999999999682</v>
      </c>
      <c r="G94" s="261">
        <f t="shared" si="19"/>
        <v>3650.7999999999997</v>
      </c>
      <c r="H94" s="275">
        <f t="shared" si="20"/>
        <v>-1.4133888462802587E-2</v>
      </c>
      <c r="I94" s="261"/>
    </row>
    <row r="95" spans="2:9" x14ac:dyDescent="0.25">
      <c r="B95" s="265">
        <v>42649</v>
      </c>
      <c r="C95" s="260">
        <v>80</v>
      </c>
      <c r="D95" s="529">
        <v>45.634999999999998</v>
      </c>
      <c r="E95" s="261">
        <v>45.18</v>
      </c>
      <c r="F95" s="261">
        <f t="shared" si="18"/>
        <v>-36.399999999999864</v>
      </c>
      <c r="G95" s="261">
        <f t="shared" si="19"/>
        <v>3650.7999999999997</v>
      </c>
      <c r="H95" s="275">
        <f t="shared" si="20"/>
        <v>-9.9704174427522364E-3</v>
      </c>
      <c r="I95" s="261"/>
    </row>
    <row r="96" spans="2:9" x14ac:dyDescent="0.25">
      <c r="B96" s="265">
        <v>42650</v>
      </c>
      <c r="C96" s="260">
        <v>80</v>
      </c>
      <c r="D96" s="529">
        <v>45.634999999999998</v>
      </c>
      <c r="E96" s="261">
        <v>45.33</v>
      </c>
      <c r="F96" s="261">
        <f t="shared" si="18"/>
        <v>-24.399999999999977</v>
      </c>
      <c r="G96" s="261">
        <f t="shared" si="19"/>
        <v>3650.7999999999997</v>
      </c>
      <c r="H96" s="275">
        <f t="shared" si="20"/>
        <v>-6.6834666374493206E-3</v>
      </c>
      <c r="I96" s="261"/>
    </row>
    <row r="97" spans="1:13" x14ac:dyDescent="0.25">
      <c r="B97" s="265">
        <v>42670</v>
      </c>
      <c r="C97" s="260">
        <v>40</v>
      </c>
      <c r="D97" s="529">
        <v>44.790999999999997</v>
      </c>
      <c r="E97" s="261">
        <v>46.41</v>
      </c>
      <c r="F97" s="261">
        <f t="shared" si="18"/>
        <v>64.759999999999991</v>
      </c>
      <c r="G97" s="261">
        <f t="shared" si="19"/>
        <v>1791.6399999999999</v>
      </c>
      <c r="H97" s="275">
        <f t="shared" si="20"/>
        <v>3.6145654260900627E-2</v>
      </c>
      <c r="I97" s="261"/>
    </row>
    <row r="98" spans="1:13" x14ac:dyDescent="0.25">
      <c r="B98" s="265">
        <v>42678</v>
      </c>
      <c r="C98" s="260">
        <v>80</v>
      </c>
      <c r="D98" s="529">
        <v>44.8705</v>
      </c>
      <c r="E98" s="261">
        <v>44.6</v>
      </c>
      <c r="F98" s="261">
        <f t="shared" si="18"/>
        <v>-21.639999999999873</v>
      </c>
      <c r="G98" s="261">
        <f t="shared" si="19"/>
        <v>3589.64</v>
      </c>
      <c r="H98" s="275">
        <f t="shared" si="20"/>
        <v>-6.0284596784078272E-3</v>
      </c>
      <c r="I98" s="261"/>
    </row>
    <row r="99" spans="1:13" x14ac:dyDescent="0.25">
      <c r="B99" s="265">
        <v>42701</v>
      </c>
      <c r="C99" s="260">
        <v>40</v>
      </c>
      <c r="D99" s="529">
        <v>43.161999999999999</v>
      </c>
      <c r="E99" s="261">
        <v>52.62</v>
      </c>
      <c r="F99" s="261">
        <f t="shared" si="18"/>
        <v>378.31999999999994</v>
      </c>
      <c r="G99" s="261">
        <f t="shared" si="19"/>
        <v>1726.48</v>
      </c>
      <c r="H99" s="275">
        <f t="shared" si="20"/>
        <v>0.21912793661090771</v>
      </c>
      <c r="I99" s="261"/>
    </row>
    <row r="100" spans="1:13" x14ac:dyDescent="0.25">
      <c r="B100" s="265">
        <v>42706</v>
      </c>
      <c r="C100" s="260">
        <v>40</v>
      </c>
      <c r="D100" s="529">
        <v>42.781999999999996</v>
      </c>
      <c r="E100" s="261">
        <v>53.58</v>
      </c>
      <c r="F100" s="261">
        <f t="shared" si="18"/>
        <v>431.92000000000007</v>
      </c>
      <c r="G100" s="261">
        <f t="shared" si="19"/>
        <v>1711.2799999999997</v>
      </c>
      <c r="H100" s="275">
        <f t="shared" si="20"/>
        <v>0.252395867420878</v>
      </c>
      <c r="I100" s="261"/>
    </row>
    <row r="101" spans="1:13" x14ac:dyDescent="0.25">
      <c r="B101" s="265">
        <v>42710</v>
      </c>
      <c r="C101" s="260">
        <v>0</v>
      </c>
      <c r="D101" s="529"/>
      <c r="E101" s="261"/>
      <c r="F101" s="261">
        <v>491.87</v>
      </c>
      <c r="G101" s="261"/>
      <c r="H101" s="275"/>
      <c r="I101" s="261"/>
    </row>
    <row r="102" spans="1:13" x14ac:dyDescent="0.25">
      <c r="B102" s="192"/>
      <c r="C102" s="10"/>
      <c r="D102" s="199"/>
      <c r="E102" s="40"/>
      <c r="F102" s="40"/>
      <c r="G102" s="40"/>
      <c r="H102" s="230"/>
      <c r="I102" s="40"/>
    </row>
    <row r="103" spans="1:13" x14ac:dyDescent="0.25">
      <c r="B103" s="192"/>
      <c r="C103" s="10"/>
      <c r="D103" s="199"/>
      <c r="E103" s="40"/>
      <c r="F103" s="40"/>
      <c r="G103" s="40"/>
      <c r="H103" s="230"/>
      <c r="I103" s="40"/>
    </row>
    <row r="106" spans="1:13" x14ac:dyDescent="0.25">
      <c r="L106" t="s">
        <v>65</v>
      </c>
      <c r="M106" s="40">
        <f>M131+K131-F131</f>
        <v>1095.7300000000032</v>
      </c>
    </row>
    <row r="107" spans="1:13" x14ac:dyDescent="0.25">
      <c r="A107" s="262" t="s">
        <v>1</v>
      </c>
      <c r="B107" s="262" t="s">
        <v>2</v>
      </c>
      <c r="C107" s="262" t="s">
        <v>4</v>
      </c>
      <c r="D107" s="263" t="s">
        <v>5</v>
      </c>
      <c r="E107" s="263" t="s">
        <v>90</v>
      </c>
      <c r="F107" s="263" t="s">
        <v>60</v>
      </c>
      <c r="G107" s="262" t="s">
        <v>3</v>
      </c>
      <c r="H107" s="262" t="s">
        <v>6</v>
      </c>
      <c r="I107" s="263" t="s">
        <v>7</v>
      </c>
      <c r="J107" s="263" t="s">
        <v>89</v>
      </c>
      <c r="K107" s="263" t="s">
        <v>61</v>
      </c>
      <c r="L107" s="262" t="s">
        <v>77</v>
      </c>
      <c r="M107" s="262" t="s">
        <v>38</v>
      </c>
    </row>
    <row r="108" spans="1:13" x14ac:dyDescent="0.25">
      <c r="A108" s="264" t="s">
        <v>175</v>
      </c>
      <c r="B108" s="265">
        <v>42376</v>
      </c>
      <c r="C108" s="260">
        <v>40</v>
      </c>
      <c r="D108" s="261">
        <v>50.5</v>
      </c>
      <c r="E108" s="261">
        <v>0</v>
      </c>
      <c r="F108" s="261">
        <f t="shared" ref="F108:F116" si="21">C108*D108+E108</f>
        <v>2020</v>
      </c>
      <c r="G108" s="260"/>
      <c r="H108" s="260"/>
      <c r="I108" s="261"/>
      <c r="J108" s="261"/>
      <c r="K108" s="261"/>
      <c r="L108" s="265">
        <v>42430</v>
      </c>
      <c r="M108" s="261">
        <v>15</v>
      </c>
    </row>
    <row r="109" spans="1:13" x14ac:dyDescent="0.25">
      <c r="A109" s="267" t="s">
        <v>71</v>
      </c>
      <c r="B109" s="265">
        <v>42466</v>
      </c>
      <c r="C109" s="260">
        <v>40</v>
      </c>
      <c r="D109" s="261">
        <v>47.38</v>
      </c>
      <c r="E109" s="261">
        <v>0</v>
      </c>
      <c r="F109" s="261">
        <f t="shared" si="21"/>
        <v>1895.2</v>
      </c>
      <c r="G109" s="265">
        <v>42473</v>
      </c>
      <c r="H109" s="266">
        <v>40</v>
      </c>
      <c r="I109" s="261">
        <v>48.91</v>
      </c>
      <c r="J109" s="261">
        <v>0.04</v>
      </c>
      <c r="K109" s="261">
        <f t="shared" ref="K109:K115" si="22">I109*H109-J109</f>
        <v>1956.36</v>
      </c>
      <c r="L109" s="265">
        <v>42522</v>
      </c>
      <c r="M109" s="261">
        <v>30.4</v>
      </c>
    </row>
    <row r="110" spans="1:13" x14ac:dyDescent="0.25">
      <c r="A110" s="260"/>
      <c r="B110" s="265">
        <v>42474</v>
      </c>
      <c r="C110" s="260">
        <v>40</v>
      </c>
      <c r="D110" s="261">
        <v>48.55</v>
      </c>
      <c r="E110" s="261">
        <v>0</v>
      </c>
      <c r="F110" s="261">
        <f t="shared" si="21"/>
        <v>1942</v>
      </c>
      <c r="G110" s="265">
        <v>42487</v>
      </c>
      <c r="H110" s="266">
        <v>40</v>
      </c>
      <c r="I110" s="261">
        <v>50.97</v>
      </c>
      <c r="J110" s="261">
        <v>0.04</v>
      </c>
      <c r="K110" s="261">
        <f t="shared" si="22"/>
        <v>2038.76</v>
      </c>
      <c r="L110" s="265">
        <v>42614</v>
      </c>
      <c r="M110" s="261">
        <v>41.8</v>
      </c>
    </row>
    <row r="111" spans="1:13" x14ac:dyDescent="0.25">
      <c r="A111" s="260"/>
      <c r="B111" s="265">
        <v>42489</v>
      </c>
      <c r="C111" s="260">
        <v>40</v>
      </c>
      <c r="D111" s="261">
        <v>50.01</v>
      </c>
      <c r="E111" s="261">
        <v>0</v>
      </c>
      <c r="F111" s="261">
        <f t="shared" si="21"/>
        <v>2000.3999999999999</v>
      </c>
      <c r="G111" s="265">
        <v>42514</v>
      </c>
      <c r="H111" s="408">
        <v>40</v>
      </c>
      <c r="I111" s="367">
        <v>49.29</v>
      </c>
      <c r="J111" s="367">
        <v>0.04</v>
      </c>
      <c r="K111" s="367">
        <f t="shared" si="22"/>
        <v>1971.56</v>
      </c>
      <c r="L111" s="260"/>
      <c r="M111" s="260"/>
    </row>
    <row r="112" spans="1:13" x14ac:dyDescent="0.25">
      <c r="A112" s="260"/>
      <c r="B112" s="265">
        <v>42503</v>
      </c>
      <c r="C112" s="260">
        <v>10</v>
      </c>
      <c r="D112" s="261">
        <v>48.2</v>
      </c>
      <c r="E112" s="261">
        <v>0</v>
      </c>
      <c r="F112" s="261">
        <f t="shared" si="21"/>
        <v>482</v>
      </c>
      <c r="G112" s="265">
        <v>42517</v>
      </c>
      <c r="H112" s="266">
        <v>20</v>
      </c>
      <c r="I112" s="261">
        <v>50.72</v>
      </c>
      <c r="J112" s="261">
        <v>0.02</v>
      </c>
      <c r="K112" s="367">
        <f t="shared" si="22"/>
        <v>1014.38</v>
      </c>
      <c r="L112" s="260"/>
      <c r="M112" s="260"/>
    </row>
    <row r="113" spans="1:13" x14ac:dyDescent="0.25">
      <c r="A113" s="260"/>
      <c r="B113" s="265">
        <v>42503</v>
      </c>
      <c r="C113" s="260">
        <v>20</v>
      </c>
      <c r="D113" s="261">
        <v>48.2</v>
      </c>
      <c r="E113" s="261">
        <v>0</v>
      </c>
      <c r="F113" s="261">
        <f t="shared" si="21"/>
        <v>964</v>
      </c>
      <c r="G113" s="265">
        <v>42527</v>
      </c>
      <c r="H113" s="266">
        <v>30</v>
      </c>
      <c r="I113" s="261">
        <v>50.59</v>
      </c>
      <c r="J113" s="261">
        <v>0.03</v>
      </c>
      <c r="K113" s="367">
        <f t="shared" si="22"/>
        <v>1517.67</v>
      </c>
      <c r="L113" s="260"/>
      <c r="M113" s="260"/>
    </row>
    <row r="114" spans="1:13" x14ac:dyDescent="0.25">
      <c r="A114" s="260"/>
      <c r="B114" s="265">
        <v>42524</v>
      </c>
      <c r="C114" s="260">
        <v>30</v>
      </c>
      <c r="D114" s="261">
        <v>50.01</v>
      </c>
      <c r="E114" s="261">
        <v>0</v>
      </c>
      <c r="F114" s="261">
        <f t="shared" si="21"/>
        <v>1500.3</v>
      </c>
      <c r="G114" s="265">
        <v>42587</v>
      </c>
      <c r="H114" s="266">
        <v>30</v>
      </c>
      <c r="I114" s="261">
        <v>48.68</v>
      </c>
      <c r="J114" s="261">
        <v>0.03</v>
      </c>
      <c r="K114" s="261">
        <f t="shared" si="22"/>
        <v>1460.3700000000001</v>
      </c>
      <c r="L114" s="260"/>
      <c r="M114" s="260"/>
    </row>
    <row r="115" spans="1:13" x14ac:dyDescent="0.25">
      <c r="A115" s="260"/>
      <c r="B115" s="265">
        <v>42531</v>
      </c>
      <c r="C115" s="260">
        <v>30</v>
      </c>
      <c r="D115" s="261">
        <v>48.51</v>
      </c>
      <c r="E115" s="261">
        <v>0</v>
      </c>
      <c r="F115" s="261">
        <f t="shared" si="21"/>
        <v>1455.3</v>
      </c>
      <c r="G115" s="265">
        <v>42611</v>
      </c>
      <c r="H115" s="266">
        <v>80</v>
      </c>
      <c r="I115" s="261">
        <v>49.71</v>
      </c>
      <c r="J115" s="261">
        <v>0.09</v>
      </c>
      <c r="K115" s="261">
        <f t="shared" si="22"/>
        <v>3976.71</v>
      </c>
      <c r="L115" s="260"/>
      <c r="M115" s="260"/>
    </row>
    <row r="116" spans="1:13" x14ac:dyDescent="0.25">
      <c r="A116" s="260"/>
      <c r="B116" s="265">
        <v>42566</v>
      </c>
      <c r="C116" s="260">
        <v>30</v>
      </c>
      <c r="D116" s="261">
        <v>47.58</v>
      </c>
      <c r="E116" s="261">
        <v>0</v>
      </c>
      <c r="F116" s="261">
        <f t="shared" si="21"/>
        <v>1427.3999999999999</v>
      </c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5">
        <v>42627</v>
      </c>
      <c r="C117" s="260">
        <v>40</v>
      </c>
      <c r="D117" s="261">
        <v>46.47</v>
      </c>
      <c r="E117" s="261">
        <v>0</v>
      </c>
      <c r="F117" s="261">
        <f>D117*C117+E117</f>
        <v>1858.8</v>
      </c>
      <c r="G117" s="265">
        <v>42670</v>
      </c>
      <c r="H117" s="266">
        <v>40</v>
      </c>
      <c r="I117" s="261">
        <v>46.48</v>
      </c>
      <c r="J117" s="261">
        <v>0.04</v>
      </c>
      <c r="K117" s="261">
        <f>I117*H117-J117</f>
        <v>1859.1599999999999</v>
      </c>
      <c r="L117" s="265">
        <v>42705</v>
      </c>
      <c r="M117" s="261">
        <v>15.2</v>
      </c>
    </row>
    <row r="118" spans="1:13" x14ac:dyDescent="0.25">
      <c r="A118" s="260"/>
      <c r="B118" s="265">
        <v>42639</v>
      </c>
      <c r="C118" s="260">
        <v>40</v>
      </c>
      <c r="D118" s="261">
        <v>44.8</v>
      </c>
      <c r="E118" s="261">
        <v>0</v>
      </c>
      <c r="F118" s="261">
        <f>D118*C118+E118</f>
        <v>1792</v>
      </c>
      <c r="G118" s="265">
        <v>42683</v>
      </c>
      <c r="H118" s="266">
        <v>40</v>
      </c>
      <c r="I118" s="261">
        <v>46.58</v>
      </c>
      <c r="J118" s="261">
        <v>0.04</v>
      </c>
      <c r="K118" s="261">
        <f>I118*H118-J118</f>
        <v>1863.1599999999999</v>
      </c>
      <c r="L118" s="265"/>
      <c r="M118" s="261"/>
    </row>
    <row r="119" spans="1:13" x14ac:dyDescent="0.25">
      <c r="A119" s="260"/>
      <c r="B119" s="265">
        <v>42678</v>
      </c>
      <c r="C119" s="260">
        <v>40</v>
      </c>
      <c r="D119" s="261">
        <v>44.95</v>
      </c>
      <c r="E119" s="261">
        <v>0</v>
      </c>
      <c r="F119" s="261">
        <f>D119*C119+E119</f>
        <v>1798</v>
      </c>
      <c r="G119" s="265">
        <v>42710</v>
      </c>
      <c r="H119" s="266">
        <v>40</v>
      </c>
      <c r="I119" s="261">
        <v>55.08</v>
      </c>
      <c r="J119" s="261">
        <v>0.05</v>
      </c>
      <c r="K119" s="261">
        <f>I119*H119-J119</f>
        <v>2203.1499999999996</v>
      </c>
      <c r="L119" s="265"/>
      <c r="M119" s="260"/>
    </row>
    <row r="120" spans="1:13" x14ac:dyDescent="0.25">
      <c r="A120" s="260"/>
      <c r="B120" s="265"/>
      <c r="C120" s="260"/>
      <c r="D120" s="261"/>
      <c r="E120" s="261"/>
      <c r="F120" s="261"/>
      <c r="G120" s="265"/>
      <c r="H120" s="408"/>
      <c r="I120" s="367"/>
      <c r="J120" s="367"/>
      <c r="K120" s="367"/>
      <c r="L120" s="260"/>
      <c r="M120" s="260"/>
    </row>
    <row r="121" spans="1:13" x14ac:dyDescent="0.25">
      <c r="A121" s="260"/>
      <c r="B121" s="454">
        <v>42718</v>
      </c>
      <c r="C121" s="7">
        <v>40</v>
      </c>
      <c r="D121" s="44">
        <v>54.28</v>
      </c>
      <c r="E121" s="44">
        <v>0</v>
      </c>
      <c r="F121" s="44">
        <f>C121*D121+E121</f>
        <v>2171.1999999999998</v>
      </c>
      <c r="G121" s="454">
        <v>42759</v>
      </c>
      <c r="H121" s="81">
        <v>40</v>
      </c>
      <c r="I121" s="44">
        <v>54.92</v>
      </c>
      <c r="J121" s="44">
        <v>0.05</v>
      </c>
      <c r="K121" s="44">
        <f>H121*I121-J121</f>
        <v>2196.75</v>
      </c>
      <c r="L121" s="260"/>
      <c r="M121" s="260"/>
    </row>
    <row r="122" spans="1:13" x14ac:dyDescent="0.25">
      <c r="A122" s="260"/>
      <c r="B122" s="454">
        <v>42733</v>
      </c>
      <c r="C122" s="7">
        <v>40</v>
      </c>
      <c r="D122" s="44">
        <v>54.58</v>
      </c>
      <c r="E122" s="44">
        <v>0</v>
      </c>
      <c r="F122" s="44">
        <f>C122*D122+E122</f>
        <v>2183.1999999999998</v>
      </c>
      <c r="G122" s="617">
        <v>42767</v>
      </c>
      <c r="H122" s="81">
        <v>40</v>
      </c>
      <c r="I122" s="44">
        <v>57.05</v>
      </c>
      <c r="J122" s="44">
        <v>0.05</v>
      </c>
      <c r="K122" s="44">
        <f>H122*I122-J122</f>
        <v>2281.9499999999998</v>
      </c>
      <c r="L122" s="260"/>
      <c r="M122" s="260"/>
    </row>
    <row r="123" spans="1:13" x14ac:dyDescent="0.25">
      <c r="A123" s="260"/>
      <c r="B123" s="454">
        <v>42740</v>
      </c>
      <c r="C123" s="7">
        <v>40</v>
      </c>
      <c r="D123" s="44">
        <v>54.9</v>
      </c>
      <c r="E123" s="44">
        <v>0</v>
      </c>
      <c r="F123" s="44">
        <f>C123*D123+E123</f>
        <v>2196</v>
      </c>
      <c r="G123" s="454">
        <v>42781</v>
      </c>
      <c r="H123" s="81">
        <v>40</v>
      </c>
      <c r="I123" s="44">
        <v>58.48</v>
      </c>
      <c r="J123" s="44">
        <v>0.05</v>
      </c>
      <c r="K123" s="44">
        <f>H123*I123-J123</f>
        <v>2339.1499999999996</v>
      </c>
      <c r="L123" s="260"/>
      <c r="M123" s="260"/>
    </row>
    <row r="124" spans="1:13" x14ac:dyDescent="0.25">
      <c r="A124" s="260"/>
      <c r="B124" s="265"/>
      <c r="C124" s="260"/>
      <c r="D124" s="261"/>
      <c r="E124" s="261"/>
      <c r="F124" s="261"/>
      <c r="G124" s="265"/>
      <c r="H124" s="266"/>
      <c r="I124" s="261"/>
      <c r="J124" s="261"/>
      <c r="K124" s="367"/>
      <c r="L124" s="260"/>
      <c r="M124" s="260"/>
    </row>
    <row r="125" spans="1:13" x14ac:dyDescent="0.25">
      <c r="A125" s="260"/>
      <c r="B125" s="265"/>
      <c r="C125" s="260"/>
      <c r="D125" s="261"/>
      <c r="E125" s="261"/>
      <c r="F125" s="261"/>
      <c r="G125" s="265"/>
      <c r="H125" s="266"/>
      <c r="I125" s="261"/>
      <c r="J125" s="261"/>
      <c r="K125" s="367"/>
      <c r="L125" s="260"/>
      <c r="M125" s="260"/>
    </row>
    <row r="126" spans="1:13" x14ac:dyDescent="0.25">
      <c r="A126" s="260"/>
      <c r="B126" s="265"/>
      <c r="C126" s="260"/>
      <c r="D126" s="261"/>
      <c r="E126" s="261"/>
      <c r="F126" s="261"/>
      <c r="G126" s="265"/>
      <c r="H126" s="266"/>
      <c r="I126" s="261"/>
      <c r="J126" s="261"/>
      <c r="K126" s="367"/>
      <c r="L126" s="260"/>
      <c r="M126" s="260"/>
    </row>
    <row r="127" spans="1:13" x14ac:dyDescent="0.25">
      <c r="A127" s="260"/>
      <c r="B127" s="265"/>
      <c r="C127" s="260"/>
      <c r="D127" s="261"/>
      <c r="E127" s="261"/>
      <c r="F127" s="261"/>
      <c r="G127" s="265"/>
      <c r="H127" s="266"/>
      <c r="I127" s="261"/>
      <c r="J127" s="261"/>
      <c r="K127" s="367"/>
      <c r="L127" s="260"/>
      <c r="M127" s="260"/>
    </row>
    <row r="128" spans="1:13" x14ac:dyDescent="0.25">
      <c r="A128" s="260"/>
      <c r="B128" s="265"/>
      <c r="C128" s="260"/>
      <c r="D128" s="261"/>
      <c r="E128" s="261"/>
      <c r="F128" s="261"/>
      <c r="G128" s="265"/>
      <c r="H128" s="266"/>
      <c r="I128" s="261"/>
      <c r="J128" s="261"/>
      <c r="K128" s="367"/>
      <c r="L128" s="260"/>
      <c r="M128" s="260"/>
    </row>
    <row r="129" spans="1:13" x14ac:dyDescent="0.25">
      <c r="A129" s="260"/>
      <c r="B129" s="265"/>
      <c r="C129" s="260"/>
      <c r="D129" s="261"/>
      <c r="E129" s="261"/>
      <c r="F129" s="261"/>
      <c r="G129" s="265"/>
      <c r="H129" s="266"/>
      <c r="I129" s="261"/>
      <c r="J129" s="261"/>
      <c r="K129" s="367"/>
      <c r="L129" s="260"/>
      <c r="M129" s="260"/>
    </row>
    <row r="130" spans="1:13" x14ac:dyDescent="0.25">
      <c r="A130" s="260"/>
      <c r="B130" s="260"/>
      <c r="C130" s="260"/>
      <c r="D130" s="261"/>
      <c r="E130" s="261"/>
      <c r="F130" s="261"/>
      <c r="G130" s="260"/>
      <c r="H130" s="266"/>
      <c r="I130" s="261"/>
      <c r="J130" s="261"/>
      <c r="K130" s="261"/>
      <c r="L130" s="260"/>
      <c r="M130" s="260"/>
    </row>
    <row r="131" spans="1:13" x14ac:dyDescent="0.25">
      <c r="A131" s="32" t="s">
        <v>81</v>
      </c>
      <c r="B131" s="14"/>
      <c r="C131" s="14">
        <f>SUM(C108:C130)</f>
        <v>520</v>
      </c>
      <c r="D131" s="18"/>
      <c r="E131" s="18"/>
      <c r="F131" s="18">
        <f>SUM(F108:F130)</f>
        <v>25685.799999999996</v>
      </c>
      <c r="G131" s="14"/>
      <c r="H131" s="72">
        <f>SUM(H109:H130)</f>
        <v>520</v>
      </c>
      <c r="I131" s="18"/>
      <c r="J131" s="18"/>
      <c r="K131" s="18">
        <f>SUM(K109:K130)</f>
        <v>26679.129999999997</v>
      </c>
      <c r="L131" s="18"/>
      <c r="M131" s="18">
        <f>SUM(M108:M130)</f>
        <v>102.39999999999999</v>
      </c>
    </row>
    <row r="132" spans="1:13" ht="15.75" thickBot="1" x14ac:dyDescent="0.3">
      <c r="A132" s="462" t="s">
        <v>197</v>
      </c>
      <c r="B132" s="463"/>
      <c r="C132" s="464">
        <f>SumByColor($A$19,C108:C130)</f>
        <v>120</v>
      </c>
      <c r="D132" s="464"/>
      <c r="E132" s="464"/>
      <c r="F132" s="465">
        <f>SumByColor($A$19,F108:F130)</f>
        <v>6550</v>
      </c>
      <c r="G132" s="464"/>
      <c r="H132" s="464">
        <f>SumByColor($A$19,H108:H130)</f>
        <v>120</v>
      </c>
      <c r="I132" s="464"/>
      <c r="J132" s="464"/>
      <c r="K132" s="465">
        <f>SumByColor($A$19,K108:K130)</f>
        <v>6818</v>
      </c>
      <c r="L132" s="464"/>
      <c r="M132" s="465">
        <f>SumByColor($A$19,M108:M130)</f>
        <v>0</v>
      </c>
    </row>
  </sheetData>
  <mergeCells count="1">
    <mergeCell ref="P39:Q39"/>
  </mergeCells>
  <conditionalFormatting sqref="F45:F47">
    <cfRule type="expression" dxfId="455" priority="59">
      <formula>F45&gt;0</formula>
    </cfRule>
    <cfRule type="expression" dxfId="454" priority="60">
      <formula>F45&lt;0</formula>
    </cfRule>
  </conditionalFormatting>
  <conditionalFormatting sqref="P40:P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453" priority="51">
      <formula>F48&gt;0</formula>
    </cfRule>
    <cfRule type="expression" dxfId="452" priority="52">
      <formula>F48&lt;0</formula>
    </cfRule>
  </conditionalFormatting>
  <conditionalFormatting sqref="F48:F76 F83:F85 F92:F103">
    <cfRule type="expression" dxfId="451" priority="53">
      <formula>F48&gt;0</formula>
    </cfRule>
    <cfRule type="expression" dxfId="450" priority="54">
      <formula>F48&lt;0</formula>
    </cfRule>
  </conditionalFormatting>
  <conditionalFormatting sqref="H45:H76 H83:H85 H92:H103">
    <cfRule type="expression" dxfId="449" priority="49">
      <formula>H45&gt;0</formula>
    </cfRule>
    <cfRule type="expression" dxfId="448" priority="50">
      <formula>H45&lt;0</formula>
    </cfRule>
  </conditionalFormatting>
  <conditionalFormatting sqref="F41:F44">
    <cfRule type="expression" dxfId="447" priority="35">
      <formula>F41&gt;0</formula>
    </cfRule>
    <cfRule type="expression" dxfId="446" priority="36">
      <formula>F41&lt;0</formula>
    </cfRule>
  </conditionalFormatting>
  <conditionalFormatting sqref="H41:H44">
    <cfRule type="expression" dxfId="445" priority="33">
      <formula>H41&gt;0</formula>
    </cfRule>
    <cfRule type="expression" dxfId="444" priority="34">
      <formula>H41&lt;0</formula>
    </cfRule>
  </conditionalFormatting>
  <conditionalFormatting sqref="Q8">
    <cfRule type="expression" dxfId="443" priority="29">
      <formula>Q8&gt;0</formula>
    </cfRule>
    <cfRule type="expression" dxfId="442" priority="30">
      <formula>Q8&lt;0</formula>
    </cfRule>
  </conditionalFormatting>
  <conditionalFormatting sqref="Q7">
    <cfRule type="expression" dxfId="441" priority="31">
      <formula>Q7&gt;0</formula>
    </cfRule>
    <cfRule type="expression" dxfId="440" priority="32">
      <formula>Q7&lt;0</formula>
    </cfRule>
  </conditionalFormatting>
  <conditionalFormatting sqref="F77:F82">
    <cfRule type="expression" dxfId="439" priority="25">
      <formula>F77&gt;0</formula>
    </cfRule>
    <cfRule type="expression" dxfId="438" priority="26">
      <formula>F77&lt;0</formula>
    </cfRule>
  </conditionalFormatting>
  <conditionalFormatting sqref="F77:F82">
    <cfRule type="expression" dxfId="437" priority="27">
      <formula>F77&gt;0</formula>
    </cfRule>
    <cfRule type="expression" dxfId="436" priority="28">
      <formula>F77&lt;0</formula>
    </cfRule>
  </conditionalFormatting>
  <conditionalFormatting sqref="H77:H82">
    <cfRule type="expression" dxfId="435" priority="23">
      <formula>H77&gt;0</formula>
    </cfRule>
    <cfRule type="expression" dxfId="434" priority="24">
      <formula>H77&lt;0</formula>
    </cfRule>
  </conditionalFormatting>
  <conditionalFormatting sqref="M106">
    <cfRule type="expression" dxfId="433" priority="19">
      <formula>M106&gt;0</formula>
    </cfRule>
    <cfRule type="expression" dxfId="432" priority="20">
      <formula>M106&lt;0</formula>
    </cfRule>
  </conditionalFormatting>
  <conditionalFormatting sqref="M106">
    <cfRule type="expression" dxfId="431" priority="21">
      <formula>M106&gt;0</formula>
    </cfRule>
    <cfRule type="expression" dxfId="430" priority="22">
      <formula>M106&lt;0</formula>
    </cfRule>
  </conditionalFormatting>
  <conditionalFormatting sqref="F87:F91">
    <cfRule type="expression" dxfId="429" priority="17">
      <formula>F87&gt;0</formula>
    </cfRule>
    <cfRule type="expression" dxfId="428" priority="18">
      <formula>F87&lt;0</formula>
    </cfRule>
  </conditionalFormatting>
  <conditionalFormatting sqref="H87:H91">
    <cfRule type="expression" dxfId="427" priority="15">
      <formula>H87&gt;0</formula>
    </cfRule>
    <cfRule type="expression" dxfId="426" priority="16">
      <formula>H87&lt;0</formula>
    </cfRule>
  </conditionalFormatting>
  <conditionalFormatting sqref="F24:F37">
    <cfRule type="expression" dxfId="425" priority="7">
      <formula>F24&gt;0</formula>
    </cfRule>
    <cfRule type="expression" dxfId="424" priority="8">
      <formula>F24&lt;0</formula>
    </cfRule>
  </conditionalFormatting>
  <conditionalFormatting sqref="F24:F37">
    <cfRule type="expression" dxfId="423" priority="9">
      <formula>F24&gt;0</formula>
    </cfRule>
    <cfRule type="expression" dxfId="422" priority="10">
      <formula>F24&lt;0</formula>
    </cfRule>
  </conditionalFormatting>
  <conditionalFormatting sqref="H24:H37">
    <cfRule type="expression" dxfId="421" priority="5">
      <formula>H24&gt;0</formula>
    </cfRule>
    <cfRule type="expression" dxfId="420" priority="6">
      <formula>H24&lt;0</formula>
    </cfRule>
  </conditionalFormatting>
  <conditionalFormatting sqref="J34">
    <cfRule type="expression" dxfId="419" priority="3">
      <formula>J34&gt;0</formula>
    </cfRule>
    <cfRule type="expression" dxfId="418" priority="4">
      <formula>J34&lt;0</formula>
    </cfRule>
  </conditionalFormatting>
  <conditionalFormatting sqref="J35">
    <cfRule type="expression" dxfId="417" priority="1">
      <formula>J35&gt;0</formula>
    </cfRule>
    <cfRule type="expression" dxfId="416" priority="2">
      <formula>J35&lt;0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F7" sqref="F7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4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239</v>
      </c>
      <c r="W2" s="93">
        <v>42797</v>
      </c>
      <c r="X2" s="10">
        <v>36.06</v>
      </c>
      <c r="Y2" s="10">
        <v>36.89</v>
      </c>
      <c r="Z2" s="10">
        <v>35.75</v>
      </c>
      <c r="AA2" s="10">
        <v>36.380000000000003</v>
      </c>
      <c r="AB2" s="94">
        <v>3225800</v>
      </c>
      <c r="AC2" s="10">
        <v>36.380000000000003</v>
      </c>
      <c r="AD2" s="2">
        <f>Y2-Z2</f>
        <v>1.1400000000000006</v>
      </c>
      <c r="AE2" s="137">
        <f>AC2/AC3-1</f>
        <v>1.4783821478382198E-2</v>
      </c>
    </row>
    <row r="3" spans="1:40" x14ac:dyDescent="0.25">
      <c r="A3" s="23" t="s">
        <v>71</v>
      </c>
      <c r="B3" s="257"/>
      <c r="C3" s="276"/>
      <c r="D3" s="277"/>
      <c r="E3" s="277"/>
      <c r="F3" s="74"/>
      <c r="G3" s="1"/>
      <c r="H3" s="184"/>
      <c r="I3" s="3"/>
      <c r="J3" s="3"/>
      <c r="K3" s="3"/>
      <c r="L3" s="257"/>
      <c r="M3" s="3"/>
      <c r="O3" s="11" t="s">
        <v>58</v>
      </c>
      <c r="Q3" s="229">
        <f>IF(Q2=0, Q4, (F18-K18-M18)/Q2)</f>
        <v>34.53</v>
      </c>
      <c r="T3" s="120">
        <v>42568</v>
      </c>
      <c r="U3" t="s">
        <v>246</v>
      </c>
      <c r="W3" s="93">
        <v>42796</v>
      </c>
      <c r="X3" s="10">
        <v>37.64</v>
      </c>
      <c r="Y3" s="10">
        <v>38.17</v>
      </c>
      <c r="Z3" s="10">
        <v>35.83</v>
      </c>
      <c r="AA3" s="10">
        <v>35.85</v>
      </c>
      <c r="AB3" s="94">
        <v>5082900</v>
      </c>
      <c r="AC3" s="10">
        <v>35.85</v>
      </c>
      <c r="AD3" s="2">
        <f t="shared" ref="AD3:AD40" si="0">Y3-Z3</f>
        <v>2.3400000000000034</v>
      </c>
      <c r="AE3" s="137">
        <f t="shared" ref="AE3:AE39" si="1">AC3/AC4-1</f>
        <v>-5.6330613319294565E-2</v>
      </c>
      <c r="AN3" s="233"/>
    </row>
    <row r="4" spans="1:40" x14ac:dyDescent="0.25">
      <c r="B4" s="257"/>
      <c r="C4" s="276"/>
      <c r="D4" s="277"/>
      <c r="E4" s="277"/>
      <c r="F4" s="74"/>
      <c r="G4" s="257"/>
      <c r="H4" s="278"/>
      <c r="I4" s="277"/>
      <c r="J4" s="277"/>
      <c r="K4" s="277"/>
      <c r="L4" s="276"/>
      <c r="O4" s="11" t="s">
        <v>66</v>
      </c>
      <c r="Q4" s="200">
        <v>34.53</v>
      </c>
      <c r="R4" s="499">
        <v>-2.35E-2</v>
      </c>
      <c r="T4" s="120"/>
      <c r="W4" s="93">
        <v>42795</v>
      </c>
      <c r="X4" s="10">
        <v>35.93</v>
      </c>
      <c r="Y4" s="10">
        <v>38.15</v>
      </c>
      <c r="Z4" s="10">
        <v>35.85</v>
      </c>
      <c r="AA4" s="10">
        <v>37.99</v>
      </c>
      <c r="AB4" s="94">
        <v>10390500</v>
      </c>
      <c r="AC4" s="10">
        <v>37.99</v>
      </c>
      <c r="AD4" s="2">
        <f t="shared" si="0"/>
        <v>2.2999999999999972</v>
      </c>
      <c r="AE4" s="137">
        <f t="shared" si="1"/>
        <v>9.8294304712344571E-2</v>
      </c>
      <c r="AK4" s="233"/>
      <c r="AN4" s="233"/>
    </row>
    <row r="5" spans="1:40" x14ac:dyDescent="0.25">
      <c r="B5" s="257"/>
      <c r="C5" s="276"/>
      <c r="D5" s="277"/>
      <c r="E5" s="277"/>
      <c r="F5" s="277"/>
      <c r="G5" s="257"/>
      <c r="H5" s="278"/>
      <c r="I5" s="277"/>
      <c r="J5" s="277"/>
      <c r="K5" s="277"/>
      <c r="L5" s="276"/>
      <c r="O5" s="11" t="s">
        <v>67</v>
      </c>
      <c r="Q5" s="3">
        <f>Q4*Q2</f>
        <v>0</v>
      </c>
      <c r="W5" s="93">
        <v>42794</v>
      </c>
      <c r="X5" s="10">
        <v>34.729999999999997</v>
      </c>
      <c r="Y5" s="10">
        <v>35.33</v>
      </c>
      <c r="Z5" s="10">
        <v>34.4</v>
      </c>
      <c r="AA5" s="10">
        <v>34.590000000000003</v>
      </c>
      <c r="AB5" s="94">
        <v>4031300</v>
      </c>
      <c r="AC5" s="10">
        <v>34.590000000000003</v>
      </c>
      <c r="AD5" s="2">
        <f t="shared" si="0"/>
        <v>0.92999999999999972</v>
      </c>
      <c r="AE5" s="137">
        <f t="shared" si="1"/>
        <v>-5.4629097182288255E-3</v>
      </c>
      <c r="AK5" s="233"/>
      <c r="AN5" s="233"/>
    </row>
    <row r="6" spans="1:40" x14ac:dyDescent="0.25">
      <c r="B6" s="257"/>
      <c r="C6" s="276"/>
      <c r="D6" s="277"/>
      <c r="E6" s="277"/>
      <c r="F6" s="277"/>
      <c r="G6" s="257"/>
      <c r="H6" s="278"/>
      <c r="I6" s="277"/>
      <c r="J6" s="277"/>
      <c r="K6" s="277"/>
      <c r="L6" s="276"/>
      <c r="O6" s="11" t="s">
        <v>64</v>
      </c>
      <c r="Q6" s="2">
        <f>Q3*Q2</f>
        <v>0</v>
      </c>
      <c r="W6" s="93">
        <v>42793</v>
      </c>
      <c r="X6" s="10">
        <v>34.520000000000003</v>
      </c>
      <c r="Y6" s="10">
        <v>35.380000000000003</v>
      </c>
      <c r="Z6" s="10">
        <v>34.19</v>
      </c>
      <c r="AA6" s="10">
        <v>34.78</v>
      </c>
      <c r="AB6" s="94">
        <v>3758000</v>
      </c>
      <c r="AC6" s="10">
        <v>34.78</v>
      </c>
      <c r="AD6" s="2">
        <f t="shared" si="0"/>
        <v>1.1900000000000048</v>
      </c>
      <c r="AE6" s="137">
        <f t="shared" si="1"/>
        <v>8.7006960556845758E-3</v>
      </c>
    </row>
    <row r="7" spans="1:40" x14ac:dyDescent="0.25">
      <c r="B7" s="257"/>
      <c r="C7" s="276"/>
      <c r="D7" s="277"/>
      <c r="E7" s="277"/>
      <c r="F7" s="277"/>
      <c r="G7" s="257"/>
      <c r="H7" s="278"/>
      <c r="I7" s="277"/>
      <c r="J7" s="277"/>
      <c r="K7" s="277"/>
      <c r="L7" s="276"/>
      <c r="O7" s="11" t="s">
        <v>181</v>
      </c>
      <c r="P7"/>
      <c r="Q7" s="2">
        <f>Q10+Q8</f>
        <v>1128.3800000000047</v>
      </c>
      <c r="R7">
        <v>0</v>
      </c>
      <c r="T7" s="84"/>
      <c r="W7" s="93">
        <v>42790</v>
      </c>
      <c r="X7" s="10">
        <v>33.81</v>
      </c>
      <c r="Y7" s="10">
        <v>34.64</v>
      </c>
      <c r="Z7" s="10">
        <v>33.35</v>
      </c>
      <c r="AA7" s="10">
        <v>34.479999999999997</v>
      </c>
      <c r="AB7" s="94">
        <v>5654800</v>
      </c>
      <c r="AC7" s="10">
        <v>34.479999999999997</v>
      </c>
      <c r="AD7" s="2">
        <f t="shared" si="0"/>
        <v>1.2899999999999991</v>
      </c>
      <c r="AE7" s="137">
        <f t="shared" si="1"/>
        <v>4.6620046620045041E-3</v>
      </c>
      <c r="AK7" s="233"/>
      <c r="AN7" s="233"/>
    </row>
    <row r="8" spans="1:40" x14ac:dyDescent="0.25">
      <c r="B8" s="257"/>
      <c r="C8" s="276"/>
      <c r="D8" s="277"/>
      <c r="E8" s="277"/>
      <c r="F8" s="277"/>
      <c r="G8" s="257"/>
      <c r="H8" s="278"/>
      <c r="I8" s="277"/>
      <c r="J8" s="277"/>
      <c r="K8" s="277"/>
      <c r="L8" s="276"/>
      <c r="O8" s="11" t="s">
        <v>183</v>
      </c>
      <c r="Q8" s="2">
        <f>K18+M18-F18+Q2*Q4</f>
        <v>0</v>
      </c>
      <c r="W8" s="93">
        <v>42789</v>
      </c>
      <c r="X8" s="10">
        <v>36.86</v>
      </c>
      <c r="Y8" s="10">
        <v>36.880000000000003</v>
      </c>
      <c r="Z8" s="10">
        <v>34.26</v>
      </c>
      <c r="AA8" s="10">
        <v>34.32</v>
      </c>
      <c r="AB8" s="94">
        <v>7132600</v>
      </c>
      <c r="AC8" s="10">
        <v>34.32</v>
      </c>
      <c r="AD8" s="2">
        <f t="shared" si="0"/>
        <v>2.6200000000000045</v>
      </c>
      <c r="AE8" s="137">
        <f t="shared" si="1"/>
        <v>-6.2295081967213117E-2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42788</v>
      </c>
      <c r="X9" s="10">
        <v>36.4</v>
      </c>
      <c r="Y9" s="10">
        <v>36.71</v>
      </c>
      <c r="Z9" s="10">
        <v>36.21</v>
      </c>
      <c r="AA9" s="10">
        <v>36.6</v>
      </c>
      <c r="AB9" s="94">
        <v>2585700</v>
      </c>
      <c r="AC9" s="10">
        <v>36.6</v>
      </c>
      <c r="AD9" s="2">
        <f t="shared" si="0"/>
        <v>0.5</v>
      </c>
      <c r="AE9" s="137">
        <f t="shared" si="1"/>
        <v>-2.9964587305910673E-3</v>
      </c>
      <c r="AK9" s="233"/>
      <c r="AN9" s="233"/>
    </row>
    <row r="10" spans="1:40" x14ac:dyDescent="0.25">
      <c r="O10" s="11" t="s">
        <v>212</v>
      </c>
      <c r="Q10" s="2">
        <f>M42</f>
        <v>1128.3800000000047</v>
      </c>
      <c r="W10" s="93">
        <v>42787</v>
      </c>
      <c r="X10" s="10">
        <v>36.31</v>
      </c>
      <c r="Y10" s="10">
        <v>37.01</v>
      </c>
      <c r="Z10" s="10">
        <v>36.229999999999997</v>
      </c>
      <c r="AA10" s="10">
        <v>36.71</v>
      </c>
      <c r="AB10" s="94">
        <v>3390000</v>
      </c>
      <c r="AC10" s="10">
        <v>36.71</v>
      </c>
      <c r="AD10" s="2">
        <f t="shared" si="0"/>
        <v>0.78000000000000114</v>
      </c>
      <c r="AE10" s="137">
        <f t="shared" si="1"/>
        <v>1.3808340237503547E-2</v>
      </c>
    </row>
    <row r="11" spans="1:40" x14ac:dyDescent="0.25">
      <c r="O11" s="11" t="s">
        <v>178</v>
      </c>
      <c r="Q11" s="137">
        <f>VALUE(TRIM(CLEAN(MID(U55, FIND("(", U55)+1, 5))))</f>
        <v>1.2500000000000001E-2</v>
      </c>
      <c r="W11" s="93">
        <v>42783</v>
      </c>
      <c r="X11" s="10">
        <v>36.24</v>
      </c>
      <c r="Y11" s="10">
        <v>36.61</v>
      </c>
      <c r="Z11" s="10">
        <v>35.79</v>
      </c>
      <c r="AA11" s="10">
        <v>36.21</v>
      </c>
      <c r="AB11" s="94">
        <v>4515100</v>
      </c>
      <c r="AC11" s="10">
        <v>36.21</v>
      </c>
      <c r="AD11" s="2">
        <f t="shared" si="0"/>
        <v>0.82000000000000028</v>
      </c>
      <c r="AE11" s="137">
        <f t="shared" si="1"/>
        <v>-6.85682940208443E-3</v>
      </c>
      <c r="AK11" s="233"/>
      <c r="AN11" s="233"/>
    </row>
    <row r="12" spans="1:40" x14ac:dyDescent="0.25">
      <c r="W12" s="93">
        <v>42782</v>
      </c>
      <c r="X12" s="10">
        <v>37.82</v>
      </c>
      <c r="Y12" s="10">
        <v>37.83</v>
      </c>
      <c r="Z12" s="10">
        <v>36.35</v>
      </c>
      <c r="AA12" s="10">
        <v>36.46</v>
      </c>
      <c r="AB12" s="94">
        <v>7038700</v>
      </c>
      <c r="AC12" s="10">
        <v>36.46</v>
      </c>
      <c r="AD12" s="2">
        <f t="shared" si="0"/>
        <v>1.4799999999999969</v>
      </c>
      <c r="AE12" s="137">
        <f t="shared" si="1"/>
        <v>-3.7232637972009375E-2</v>
      </c>
    </row>
    <row r="13" spans="1:40" x14ac:dyDescent="0.25">
      <c r="W13" s="93">
        <v>42781</v>
      </c>
      <c r="X13" s="10">
        <v>38.25</v>
      </c>
      <c r="Y13" s="10">
        <v>38.299999999999997</v>
      </c>
      <c r="Z13" s="10">
        <v>37.729999999999997</v>
      </c>
      <c r="AA13" s="10">
        <v>37.869999999999997</v>
      </c>
      <c r="AB13" s="94">
        <v>11481200</v>
      </c>
      <c r="AC13" s="10">
        <v>37.869999999999997</v>
      </c>
      <c r="AD13" s="2">
        <f t="shared" si="0"/>
        <v>0.57000000000000028</v>
      </c>
      <c r="AE13" s="137">
        <f t="shared" si="1"/>
        <v>-1.7894190871369453E-2</v>
      </c>
      <c r="AK13" s="233"/>
      <c r="AN13" s="233"/>
    </row>
    <row r="14" spans="1:40" x14ac:dyDescent="0.25">
      <c r="T14" s="83"/>
      <c r="U14" s="11"/>
      <c r="W14" s="93">
        <v>42780</v>
      </c>
      <c r="X14" s="10">
        <v>38.57</v>
      </c>
      <c r="Y14" s="10">
        <v>39.25</v>
      </c>
      <c r="Z14" s="10">
        <v>38.18</v>
      </c>
      <c r="AA14" s="10">
        <v>38.56</v>
      </c>
      <c r="AB14" s="94">
        <v>3653400</v>
      </c>
      <c r="AC14" s="10">
        <v>38.56</v>
      </c>
      <c r="AD14" s="2">
        <f t="shared" si="0"/>
        <v>1.0700000000000003</v>
      </c>
      <c r="AE14" s="137">
        <f t="shared" si="1"/>
        <v>2.0790020790022457E-3</v>
      </c>
    </row>
    <row r="15" spans="1:40" x14ac:dyDescent="0.25">
      <c r="W15" s="93">
        <v>42779</v>
      </c>
      <c r="X15" s="10">
        <v>38.79</v>
      </c>
      <c r="Y15" s="10">
        <v>39.78</v>
      </c>
      <c r="Z15" s="10">
        <v>38.450000000000003</v>
      </c>
      <c r="AA15" s="10">
        <v>38.479999999999997</v>
      </c>
      <c r="AB15" s="94">
        <v>5365800</v>
      </c>
      <c r="AC15" s="10">
        <v>38.479999999999997</v>
      </c>
      <c r="AD15" s="2">
        <f t="shared" si="0"/>
        <v>1.3299999999999983</v>
      </c>
      <c r="AE15" s="137">
        <f t="shared" si="1"/>
        <v>4.6997389033942572E-3</v>
      </c>
      <c r="AK15" s="233"/>
      <c r="AN15" s="233"/>
    </row>
    <row r="16" spans="1:40" x14ac:dyDescent="0.25">
      <c r="W16" s="93">
        <v>42776</v>
      </c>
      <c r="X16" s="10">
        <v>37.92</v>
      </c>
      <c r="Y16" s="10">
        <v>38.54</v>
      </c>
      <c r="Z16" s="10">
        <v>37.51</v>
      </c>
      <c r="AA16" s="10">
        <v>38.299999999999997</v>
      </c>
      <c r="AB16" s="94">
        <v>3628600</v>
      </c>
      <c r="AC16" s="10">
        <v>38.299999999999997</v>
      </c>
      <c r="AD16" s="2">
        <f t="shared" si="0"/>
        <v>1.0300000000000011</v>
      </c>
      <c r="AE16" s="137">
        <f t="shared" si="1"/>
        <v>2.3516835916622014E-2</v>
      </c>
    </row>
    <row r="17" spans="1:40" x14ac:dyDescent="0.25">
      <c r="W17" s="93">
        <v>42775</v>
      </c>
      <c r="X17" s="10">
        <v>37.409999999999997</v>
      </c>
      <c r="Y17" s="10">
        <v>37.75</v>
      </c>
      <c r="Z17" s="10">
        <v>36.99</v>
      </c>
      <c r="AA17" s="10">
        <v>37.42</v>
      </c>
      <c r="AB17" s="94">
        <v>3382400</v>
      </c>
      <c r="AC17" s="10">
        <v>37.42</v>
      </c>
      <c r="AD17" s="2">
        <f t="shared" si="0"/>
        <v>0.75999999999999801</v>
      </c>
      <c r="AE17" s="137">
        <f t="shared" si="1"/>
        <v>-3.1965903036760279E-3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42774</v>
      </c>
      <c r="X18" s="10">
        <v>37.93</v>
      </c>
      <c r="Y18" s="10">
        <v>38.5</v>
      </c>
      <c r="Z18" s="10">
        <v>37.11</v>
      </c>
      <c r="AA18" s="10">
        <v>37.54</v>
      </c>
      <c r="AB18" s="94">
        <v>3093100</v>
      </c>
      <c r="AC18" s="10">
        <v>37.54</v>
      </c>
      <c r="AD18" s="2">
        <f t="shared" si="0"/>
        <v>1.3900000000000006</v>
      </c>
      <c r="AE18" s="137">
        <f t="shared" si="1"/>
        <v>-1.1324730050039533E-2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42773</v>
      </c>
      <c r="X19" s="10">
        <v>38.04</v>
      </c>
      <c r="Y19" s="10">
        <v>38.25</v>
      </c>
      <c r="Z19" s="10">
        <v>37.31</v>
      </c>
      <c r="AA19" s="10">
        <v>37.97</v>
      </c>
      <c r="AB19" s="94">
        <v>3228100</v>
      </c>
      <c r="AC19" s="10">
        <v>37.97</v>
      </c>
      <c r="AD19" s="2">
        <f t="shared" si="0"/>
        <v>0.93999999999999773</v>
      </c>
      <c r="AE19" s="137">
        <f t="shared" si="1"/>
        <v>5.8278145695362937E-3</v>
      </c>
      <c r="AK19" s="233"/>
      <c r="AN19" s="233"/>
    </row>
    <row r="20" spans="1:40" x14ac:dyDescent="0.25">
      <c r="W20" s="93">
        <v>42772</v>
      </c>
      <c r="X20" s="10">
        <v>36.9</v>
      </c>
      <c r="Y20" s="10">
        <v>38</v>
      </c>
      <c r="Z20" s="10">
        <v>36.799999999999997</v>
      </c>
      <c r="AA20" s="10">
        <v>37.75</v>
      </c>
      <c r="AB20" s="94">
        <v>2833000</v>
      </c>
      <c r="AC20" s="10">
        <v>37.75</v>
      </c>
      <c r="AD20" s="2">
        <f t="shared" si="0"/>
        <v>1.2000000000000028</v>
      </c>
      <c r="AE20" s="137">
        <f t="shared" si="1"/>
        <v>2.4145415084102062E-2</v>
      </c>
    </row>
    <row r="21" spans="1:40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93">
        <v>42769</v>
      </c>
      <c r="X21" s="10">
        <v>37.869999999999997</v>
      </c>
      <c r="Y21" s="10">
        <v>38.049999999999997</v>
      </c>
      <c r="Z21" s="10">
        <v>36.83</v>
      </c>
      <c r="AA21" s="10">
        <v>36.86</v>
      </c>
      <c r="AB21" s="94">
        <v>5240100</v>
      </c>
      <c r="AC21" s="10">
        <v>36.86</v>
      </c>
      <c r="AD21" s="2">
        <f t="shared" si="0"/>
        <v>1.2199999999999989</v>
      </c>
      <c r="AE21" s="137">
        <f t="shared" si="1"/>
        <v>-2.1762208067940603E-2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42768</v>
      </c>
      <c r="X22" s="10">
        <v>36.700000000000003</v>
      </c>
      <c r="Y22" s="10">
        <v>38.369999999999997</v>
      </c>
      <c r="Z22" s="10">
        <v>36.630000000000003</v>
      </c>
      <c r="AA22" s="10">
        <v>37.68</v>
      </c>
      <c r="AB22" s="94">
        <v>5046900</v>
      </c>
      <c r="AC22" s="10">
        <v>37.68</v>
      </c>
      <c r="AD22" s="2">
        <f t="shared" si="0"/>
        <v>1.7399999999999949</v>
      </c>
      <c r="AE22" s="137">
        <f t="shared" si="1"/>
        <v>3.9161610590181972E-2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42767</v>
      </c>
      <c r="X23" s="10">
        <v>36.58</v>
      </c>
      <c r="Y23" s="10">
        <v>37.19</v>
      </c>
      <c r="Z23" s="10">
        <v>36.200000000000003</v>
      </c>
      <c r="AA23" s="10">
        <v>36.26</v>
      </c>
      <c r="AB23" s="94">
        <v>2903800</v>
      </c>
      <c r="AC23" s="10">
        <v>36.26</v>
      </c>
      <c r="AD23" s="2">
        <f t="shared" si="0"/>
        <v>0.98999999999999488</v>
      </c>
      <c r="AE23" s="137">
        <f t="shared" si="1"/>
        <v>-5.2126200274349443E-3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42766</v>
      </c>
      <c r="X24" s="10">
        <v>36.78</v>
      </c>
      <c r="Y24" s="10">
        <v>37.229999999999997</v>
      </c>
      <c r="Z24" s="10">
        <v>36.01</v>
      </c>
      <c r="AA24" s="10">
        <v>36.450000000000003</v>
      </c>
      <c r="AB24" s="94">
        <v>2677100</v>
      </c>
      <c r="AC24" s="10">
        <v>36.450000000000003</v>
      </c>
      <c r="AD24" s="2">
        <f t="shared" si="0"/>
        <v>1.2199999999999989</v>
      </c>
      <c r="AE24" s="137">
        <f t="shared" si="1"/>
        <v>-2.7359781121749638E-3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42765</v>
      </c>
      <c r="X25" s="10">
        <v>36.479999999999997</v>
      </c>
      <c r="Y25" s="10">
        <v>36.590000000000003</v>
      </c>
      <c r="Z25" s="10">
        <v>35.770000000000003</v>
      </c>
      <c r="AA25" s="10">
        <v>36.549999999999997</v>
      </c>
      <c r="AB25" s="94">
        <v>3002400</v>
      </c>
      <c r="AC25" s="10">
        <v>36.549999999999997</v>
      </c>
      <c r="AD25" s="2">
        <f t="shared" si="0"/>
        <v>0.82000000000000028</v>
      </c>
      <c r="AE25" s="137">
        <f t="shared" si="1"/>
        <v>-3.2724297791111301E-3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42762</v>
      </c>
      <c r="X26" s="10">
        <v>36.299999999999997</v>
      </c>
      <c r="Y26" s="10">
        <v>37.39</v>
      </c>
      <c r="Z26" s="10">
        <v>36.270000000000003</v>
      </c>
      <c r="AA26" s="10">
        <v>36.67</v>
      </c>
      <c r="AB26" s="94">
        <v>3617600</v>
      </c>
      <c r="AC26" s="10">
        <v>36.67</v>
      </c>
      <c r="AD26" s="2">
        <f t="shared" si="0"/>
        <v>1.1199999999999974</v>
      </c>
      <c r="AE26" s="137">
        <f t="shared" si="1"/>
        <v>1.0192837465564875E-2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42761</v>
      </c>
      <c r="X27" s="10">
        <v>36.22</v>
      </c>
      <c r="Y27" s="10">
        <v>37.07</v>
      </c>
      <c r="Z27" s="10">
        <v>35.51</v>
      </c>
      <c r="AA27" s="10">
        <v>36.299999999999997</v>
      </c>
      <c r="AB27" s="94">
        <v>5733100</v>
      </c>
      <c r="AC27" s="10">
        <v>36.299999999999997</v>
      </c>
      <c r="AD27" s="2">
        <f t="shared" si="0"/>
        <v>1.5600000000000023</v>
      </c>
      <c r="AE27" s="137">
        <f t="shared" si="1"/>
        <v>-6.2961949082946944E-3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42760</v>
      </c>
      <c r="X28" s="10">
        <v>38.58</v>
      </c>
      <c r="Y28" s="10">
        <v>38.94</v>
      </c>
      <c r="Z28" s="10">
        <v>36.31</v>
      </c>
      <c r="AA28" s="10">
        <v>36.53</v>
      </c>
      <c r="AB28" s="94">
        <v>13573700</v>
      </c>
      <c r="AC28" s="10">
        <v>36.53</v>
      </c>
      <c r="AD28" s="2">
        <f t="shared" si="0"/>
        <v>2.6299999999999955</v>
      </c>
      <c r="AE28" s="137">
        <f t="shared" si="1"/>
        <v>-2.5866666666666593E-2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42759</v>
      </c>
      <c r="X29" s="10">
        <v>37.18</v>
      </c>
      <c r="Y29" s="10">
        <v>38.380000000000003</v>
      </c>
      <c r="Z29" s="10">
        <v>37.18</v>
      </c>
      <c r="AA29" s="10">
        <v>37.5</v>
      </c>
      <c r="AB29" s="94">
        <v>11048600</v>
      </c>
      <c r="AC29" s="10">
        <v>37.5</v>
      </c>
      <c r="AD29" s="2">
        <f t="shared" si="0"/>
        <v>1.2000000000000028</v>
      </c>
      <c r="AE29" s="137">
        <f t="shared" si="1"/>
        <v>3.3342518600165461E-2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42758</v>
      </c>
      <c r="X30" s="10">
        <v>35.92</v>
      </c>
      <c r="Y30" s="10">
        <v>36.4</v>
      </c>
      <c r="Z30" s="10">
        <v>35.46</v>
      </c>
      <c r="AA30" s="10">
        <v>36.29</v>
      </c>
      <c r="AB30" s="94">
        <v>5242100</v>
      </c>
      <c r="AC30" s="10">
        <v>36.29</v>
      </c>
      <c r="AD30" s="2">
        <f t="shared" si="0"/>
        <v>0.93999999999999773</v>
      </c>
      <c r="AE30" s="137">
        <f t="shared" si="1"/>
        <v>1.7666853617498646E-2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235"/>
      <c r="W31" s="93">
        <v>42755</v>
      </c>
      <c r="X31" s="10">
        <v>35.4</v>
      </c>
      <c r="Y31" s="10">
        <v>35.74</v>
      </c>
      <c r="Z31" s="10">
        <v>34.93</v>
      </c>
      <c r="AA31" s="10">
        <v>35.659999999999997</v>
      </c>
      <c r="AB31" s="94">
        <v>5329400</v>
      </c>
      <c r="AC31" s="10">
        <v>35.659999999999997</v>
      </c>
      <c r="AD31" s="2">
        <f t="shared" si="0"/>
        <v>0.81000000000000227</v>
      </c>
      <c r="AE31" s="137">
        <f t="shared" si="1"/>
        <v>6.7758328627891551E-3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42754</v>
      </c>
      <c r="X32" s="10">
        <v>34.22</v>
      </c>
      <c r="Y32" s="10">
        <v>35.630000000000003</v>
      </c>
      <c r="Z32" s="10">
        <v>34.18</v>
      </c>
      <c r="AA32" s="10">
        <v>35.42</v>
      </c>
      <c r="AB32" s="94">
        <v>5035600</v>
      </c>
      <c r="AC32" s="10">
        <v>35.42</v>
      </c>
      <c r="AD32" s="2">
        <f t="shared" si="0"/>
        <v>1.4500000000000028</v>
      </c>
      <c r="AE32" s="137">
        <f t="shared" si="1"/>
        <v>1.7523700086182092E-2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42753</v>
      </c>
      <c r="X33" s="10">
        <v>32.950000000000003</v>
      </c>
      <c r="Y33" s="10">
        <v>34.83</v>
      </c>
      <c r="Z33" s="10">
        <v>32.64</v>
      </c>
      <c r="AA33" s="10">
        <v>34.81</v>
      </c>
      <c r="AB33" s="94">
        <v>6398800</v>
      </c>
      <c r="AC33" s="10">
        <v>34.81</v>
      </c>
      <c r="AD33" s="2">
        <f t="shared" si="0"/>
        <v>2.1899999999999977</v>
      </c>
      <c r="AE33" s="137">
        <f t="shared" si="1"/>
        <v>6.6482843137255054E-2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42752</v>
      </c>
      <c r="X34" s="10">
        <v>32.97</v>
      </c>
      <c r="Y34" s="10">
        <v>33.04</v>
      </c>
      <c r="Z34" s="10">
        <v>32.520000000000003</v>
      </c>
      <c r="AA34" s="10">
        <v>32.64</v>
      </c>
      <c r="AB34" s="94">
        <v>1381800</v>
      </c>
      <c r="AC34" s="10">
        <v>32.64</v>
      </c>
      <c r="AD34" s="2">
        <f t="shared" si="0"/>
        <v>0.51999999999999602</v>
      </c>
      <c r="AE34" s="137">
        <f t="shared" si="1"/>
        <v>-1.1208724628900213E-2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42748</v>
      </c>
      <c r="X35" s="10">
        <v>32.82</v>
      </c>
      <c r="Y35" s="10">
        <v>33.43</v>
      </c>
      <c r="Z35" s="10">
        <v>32.53</v>
      </c>
      <c r="AA35" s="10">
        <v>33.01</v>
      </c>
      <c r="AB35" s="94">
        <v>3026200</v>
      </c>
      <c r="AC35" s="10">
        <v>33.01</v>
      </c>
      <c r="AD35" s="2">
        <f t="shared" si="0"/>
        <v>0.89999999999999858</v>
      </c>
      <c r="AE35" s="137">
        <f t="shared" si="1"/>
        <v>-9.0799031476995751E-4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93">
        <v>42747</v>
      </c>
      <c r="X36" s="10">
        <v>33</v>
      </c>
      <c r="Y36" s="10">
        <v>33.5</v>
      </c>
      <c r="Z36" s="10">
        <v>32.51</v>
      </c>
      <c r="AA36" s="10">
        <v>33.04</v>
      </c>
      <c r="AB36" s="94">
        <v>4479500</v>
      </c>
      <c r="AC36" s="10">
        <v>33.04</v>
      </c>
      <c r="AD36" s="2">
        <f t="shared" si="0"/>
        <v>0.99000000000000199</v>
      </c>
      <c r="AE36" s="137">
        <f t="shared" si="1"/>
        <v>3.3468877072255321E-2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93">
        <v>42746</v>
      </c>
      <c r="X37" s="10">
        <v>31.08</v>
      </c>
      <c r="Y37" s="10">
        <v>32</v>
      </c>
      <c r="Z37" s="10">
        <v>31.08</v>
      </c>
      <c r="AA37" s="10">
        <v>31.97</v>
      </c>
      <c r="AB37" s="94">
        <v>3048500</v>
      </c>
      <c r="AC37" s="10">
        <v>31.97</v>
      </c>
      <c r="AD37" s="2">
        <f t="shared" si="0"/>
        <v>0.92000000000000171</v>
      </c>
      <c r="AE37" s="137">
        <f t="shared" si="1"/>
        <v>3.1956100710135438E-2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93">
        <v>42745</v>
      </c>
      <c r="X38" s="10">
        <v>29.83</v>
      </c>
      <c r="Y38" s="10">
        <v>31.1</v>
      </c>
      <c r="Z38" s="10">
        <v>29.73</v>
      </c>
      <c r="AA38" s="10">
        <v>30.98</v>
      </c>
      <c r="AB38" s="94">
        <v>3823600</v>
      </c>
      <c r="AC38" s="10">
        <v>30.98</v>
      </c>
      <c r="AD38" s="2">
        <f t="shared" si="0"/>
        <v>1.370000000000001</v>
      </c>
      <c r="AE38" s="137">
        <f t="shared" si="1"/>
        <v>5.0881953867028429E-2</v>
      </c>
    </row>
    <row r="39" spans="1:31" ht="20.25" thickBot="1" x14ac:dyDescent="0.35">
      <c r="B39" s="192"/>
      <c r="C39" s="10"/>
      <c r="D39" s="40"/>
      <c r="E39" s="40"/>
      <c r="F39" s="40"/>
      <c r="G39" s="40"/>
      <c r="H39" s="230"/>
      <c r="I39" s="40"/>
      <c r="O39" s="11"/>
      <c r="P39" s="703" t="s">
        <v>78</v>
      </c>
      <c r="Q39" s="703"/>
      <c r="R39" s="34"/>
      <c r="T39" s="90" t="s">
        <v>113</v>
      </c>
      <c r="W39" s="93">
        <v>42744</v>
      </c>
      <c r="X39" s="10">
        <v>30.88</v>
      </c>
      <c r="Y39" s="10">
        <v>30.88</v>
      </c>
      <c r="Z39" s="10">
        <v>29.22</v>
      </c>
      <c r="AA39" s="10">
        <v>29.48</v>
      </c>
      <c r="AB39" s="94">
        <v>4199600</v>
      </c>
      <c r="AC39" s="10">
        <v>29.48</v>
      </c>
      <c r="AD39" s="2">
        <f t="shared" si="0"/>
        <v>1.6600000000000001</v>
      </c>
      <c r="AE39" s="137">
        <f t="shared" si="1"/>
        <v>-3.9113428943937434E-2</v>
      </c>
    </row>
    <row r="40" spans="1:31" ht="15.75" thickTop="1" x14ac:dyDescent="0.25">
      <c r="B40" s="257"/>
      <c r="C40" s="278"/>
      <c r="D40" s="277"/>
      <c r="E40" s="277"/>
      <c r="F40" s="277"/>
      <c r="G40" s="257"/>
      <c r="H40" s="278"/>
      <c r="I40" s="277"/>
      <c r="J40" s="277"/>
      <c r="K40" s="277"/>
      <c r="L40" s="276"/>
      <c r="O40" s="2"/>
      <c r="P40" s="82">
        <v>1.1000000000000001</v>
      </c>
      <c r="Q40" s="82">
        <f>P40*$Q$4</f>
        <v>37.983000000000004</v>
      </c>
      <c r="R40" s="34"/>
      <c r="T40" s="86" t="s">
        <v>98</v>
      </c>
      <c r="U40" s="87">
        <v>35.85</v>
      </c>
      <c r="W40" s="93">
        <v>42741</v>
      </c>
      <c r="X40" s="10">
        <v>30.69</v>
      </c>
      <c r="Y40" s="10">
        <v>31.1</v>
      </c>
      <c r="Z40" s="10">
        <v>30.31</v>
      </c>
      <c r="AA40" s="10">
        <v>30.68</v>
      </c>
      <c r="AB40" s="94">
        <v>2083600</v>
      </c>
      <c r="AC40" s="10">
        <v>30.68</v>
      </c>
      <c r="AD40" s="2">
        <f t="shared" si="0"/>
        <v>0.7900000000000027</v>
      </c>
      <c r="AE40" s="137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9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37.637700000000002</v>
      </c>
      <c r="R41" s="34"/>
      <c r="T41" s="86" t="s">
        <v>99</v>
      </c>
      <c r="U41" s="87">
        <v>36.06</v>
      </c>
      <c r="W41" s="93">
        <v>42740</v>
      </c>
      <c r="X41" s="10">
        <v>30.18</v>
      </c>
      <c r="Y41" s="10">
        <v>30.93</v>
      </c>
      <c r="Z41" s="10">
        <v>30.12</v>
      </c>
      <c r="AA41" s="10">
        <v>30.65</v>
      </c>
      <c r="AB41" s="94">
        <v>2432100</v>
      </c>
      <c r="AC41" s="10">
        <v>30.65</v>
      </c>
      <c r="AD41" s="2">
        <f>Y68-Z68</f>
        <v>0</v>
      </c>
      <c r="AE41" s="137" t="e">
        <f>AC68/AC69-1</f>
        <v>#DIV/0!</v>
      </c>
    </row>
    <row r="42" spans="1:31" x14ac:dyDescent="0.25">
      <c r="A42" s="260"/>
      <c r="B42" s="260"/>
      <c r="C42" s="260"/>
      <c r="D42" s="261"/>
      <c r="E42" s="261"/>
      <c r="F42" s="261"/>
      <c r="G42" s="260"/>
      <c r="H42" s="260"/>
      <c r="I42" s="261"/>
      <c r="J42" s="261"/>
      <c r="K42" s="262" t="s">
        <v>131</v>
      </c>
      <c r="L42" s="260"/>
      <c r="M42" s="261">
        <f>K85+M85-F85</f>
        <v>1128.3800000000047</v>
      </c>
      <c r="N42" s="260"/>
      <c r="O42" s="2"/>
      <c r="P42" s="82">
        <v>1.08</v>
      </c>
      <c r="Q42" s="82">
        <f t="shared" si="2"/>
        <v>37.292400000000001</v>
      </c>
      <c r="R42" s="34"/>
      <c r="T42" s="86" t="s">
        <v>100</v>
      </c>
      <c r="U42" s="87" t="s">
        <v>129</v>
      </c>
      <c r="W42" s="93">
        <v>42739</v>
      </c>
      <c r="X42" s="10">
        <v>29.02</v>
      </c>
      <c r="Y42" s="10">
        <v>30.3</v>
      </c>
      <c r="Z42" s="10">
        <v>29.02</v>
      </c>
      <c r="AA42" s="10">
        <v>30.26</v>
      </c>
      <c r="AB42" s="94">
        <v>3338100</v>
      </c>
      <c r="AC42" s="10">
        <v>30.26</v>
      </c>
      <c r="AD42" s="2"/>
      <c r="AE42" s="137"/>
    </row>
    <row r="43" spans="1:31" x14ac:dyDescent="0.25">
      <c r="A43" s="262" t="s">
        <v>1</v>
      </c>
      <c r="B43" s="262" t="s">
        <v>2</v>
      </c>
      <c r="C43" s="262" t="s">
        <v>4</v>
      </c>
      <c r="D43" s="263" t="s">
        <v>5</v>
      </c>
      <c r="E43" s="263" t="s">
        <v>90</v>
      </c>
      <c r="F43" s="263" t="s">
        <v>60</v>
      </c>
      <c r="G43" s="262" t="s">
        <v>3</v>
      </c>
      <c r="H43" s="262" t="s">
        <v>6</v>
      </c>
      <c r="I43" s="263" t="s">
        <v>7</v>
      </c>
      <c r="J43" s="263" t="s">
        <v>89</v>
      </c>
      <c r="K43" s="263" t="s">
        <v>61</v>
      </c>
      <c r="L43" s="262" t="s">
        <v>77</v>
      </c>
      <c r="M43" s="262" t="s">
        <v>38</v>
      </c>
      <c r="N43" s="262"/>
      <c r="O43" s="2"/>
      <c r="P43" s="82">
        <v>1.07</v>
      </c>
      <c r="Q43" s="82">
        <f t="shared" si="2"/>
        <v>36.947100000000006</v>
      </c>
      <c r="R43" s="82"/>
      <c r="T43" s="86" t="s">
        <v>101</v>
      </c>
      <c r="U43" s="87" t="s">
        <v>129</v>
      </c>
      <c r="W43" s="93">
        <v>42738</v>
      </c>
      <c r="X43" s="10">
        <v>28.6</v>
      </c>
      <c r="Y43" s="10">
        <v>28.87</v>
      </c>
      <c r="Z43" s="10">
        <v>28.17</v>
      </c>
      <c r="AA43" s="10">
        <v>28.83</v>
      </c>
      <c r="AB43" s="94">
        <v>2746400</v>
      </c>
      <c r="AC43" s="10">
        <v>28.83</v>
      </c>
      <c r="AD43" s="2"/>
      <c r="AE43" s="137"/>
    </row>
    <row r="44" spans="1:31" x14ac:dyDescent="0.25">
      <c r="A44" s="264" t="s">
        <v>10</v>
      </c>
      <c r="B44" s="265">
        <v>42146</v>
      </c>
      <c r="C44" s="260">
        <v>100</v>
      </c>
      <c r="D44" s="261">
        <v>13.1</v>
      </c>
      <c r="E44" s="261">
        <v>0</v>
      </c>
      <c r="F44" s="261">
        <f>C44*D44+E44</f>
        <v>1310</v>
      </c>
      <c r="G44" s="265">
        <v>42199</v>
      </c>
      <c r="H44" s="260">
        <v>52</v>
      </c>
      <c r="I44" s="261">
        <v>10.7</v>
      </c>
      <c r="J44" s="261">
        <v>0.01</v>
      </c>
      <c r="K44" s="261">
        <f t="shared" ref="K44:K67" si="3">H44*I44-J44</f>
        <v>556.39</v>
      </c>
      <c r="L44" s="265">
        <v>42241</v>
      </c>
      <c r="M44" s="261">
        <v>12</v>
      </c>
      <c r="N44" s="260"/>
      <c r="O44" s="2"/>
      <c r="P44" s="82">
        <v>1.06</v>
      </c>
      <c r="Q44" s="82">
        <f t="shared" si="2"/>
        <v>36.601800000000004</v>
      </c>
      <c r="R44" s="82"/>
      <c r="T44" s="86" t="s">
        <v>102</v>
      </c>
      <c r="U44" s="87">
        <v>39.64</v>
      </c>
      <c r="W44" s="93">
        <v>42734</v>
      </c>
      <c r="X44" s="10">
        <v>28.97</v>
      </c>
      <c r="Y44" s="10">
        <v>29.38</v>
      </c>
      <c r="Z44" s="10">
        <v>28.01</v>
      </c>
      <c r="AA44" s="10">
        <v>28.08</v>
      </c>
      <c r="AB44" s="94">
        <v>2651500</v>
      </c>
      <c r="AC44" s="10">
        <v>28.08</v>
      </c>
      <c r="AD44" s="2"/>
      <c r="AE44" s="137"/>
    </row>
    <row r="45" spans="1:31" x14ac:dyDescent="0.25">
      <c r="A45" s="267" t="s">
        <v>71</v>
      </c>
      <c r="B45" s="265">
        <v>42151</v>
      </c>
      <c r="C45" s="260">
        <v>102</v>
      </c>
      <c r="D45" s="261">
        <v>12.99</v>
      </c>
      <c r="E45" s="261">
        <v>0</v>
      </c>
      <c r="F45" s="261">
        <f t="shared" ref="F45:F79" si="4">C45*D45+E45</f>
        <v>1324.98</v>
      </c>
      <c r="G45" s="265">
        <v>42235</v>
      </c>
      <c r="H45" s="260">
        <v>150</v>
      </c>
      <c r="I45" s="261">
        <v>9.41</v>
      </c>
      <c r="J45" s="261">
        <v>0.03</v>
      </c>
      <c r="K45" s="261">
        <f t="shared" si="3"/>
        <v>1411.47</v>
      </c>
      <c r="L45" s="265">
        <v>42333</v>
      </c>
      <c r="M45" s="261">
        <v>111</v>
      </c>
      <c r="N45" s="260"/>
      <c r="O45" s="2"/>
      <c r="P45" s="82">
        <v>1.05</v>
      </c>
      <c r="Q45" s="82">
        <f t="shared" si="2"/>
        <v>36.256500000000003</v>
      </c>
      <c r="R45" s="82"/>
      <c r="T45" s="86" t="s">
        <v>103</v>
      </c>
      <c r="U45" s="87">
        <v>0.69392299999999996</v>
      </c>
      <c r="W45" s="93">
        <v>42733</v>
      </c>
      <c r="X45" s="10">
        <v>29.43</v>
      </c>
      <c r="Y45" s="10">
        <v>29.44</v>
      </c>
      <c r="Z45" s="10">
        <v>28.6</v>
      </c>
      <c r="AA45" s="10">
        <v>28.89</v>
      </c>
      <c r="AB45" s="94">
        <v>3224400</v>
      </c>
      <c r="AC45" s="10">
        <v>28.89</v>
      </c>
      <c r="AD45" s="2"/>
      <c r="AE45" s="137"/>
    </row>
    <row r="46" spans="1:31" x14ac:dyDescent="0.25">
      <c r="A46" s="260"/>
      <c r="B46" s="265">
        <v>42152</v>
      </c>
      <c r="C46" s="260">
        <v>50</v>
      </c>
      <c r="D46" s="261">
        <v>12.94</v>
      </c>
      <c r="E46" s="261">
        <v>0</v>
      </c>
      <c r="F46" s="261">
        <f t="shared" si="4"/>
        <v>647</v>
      </c>
      <c r="G46" s="265">
        <v>42256</v>
      </c>
      <c r="H46" s="266">
        <v>300</v>
      </c>
      <c r="I46" s="261">
        <v>9.6999999999999993</v>
      </c>
      <c r="J46" s="261">
        <v>0.05</v>
      </c>
      <c r="K46" s="261">
        <f t="shared" si="3"/>
        <v>2909.95</v>
      </c>
      <c r="L46" s="265">
        <v>42425</v>
      </c>
      <c r="M46" s="261">
        <v>15</v>
      </c>
      <c r="N46" s="260"/>
      <c r="O46" s="2"/>
      <c r="P46" s="82">
        <v>1.04</v>
      </c>
      <c r="Q46" s="82">
        <f t="shared" si="2"/>
        <v>35.911200000000001</v>
      </c>
      <c r="R46" s="82"/>
      <c r="T46" s="86" t="s">
        <v>104</v>
      </c>
      <c r="U46" s="88" t="s">
        <v>129</v>
      </c>
      <c r="W46" s="93">
        <v>42732</v>
      </c>
      <c r="X46" s="10">
        <v>29.78</v>
      </c>
      <c r="Y46" s="10">
        <v>30.17</v>
      </c>
      <c r="Z46" s="10">
        <v>29.35</v>
      </c>
      <c r="AA46" s="10">
        <v>29.43</v>
      </c>
      <c r="AB46" s="94">
        <v>2749800</v>
      </c>
      <c r="AC46" s="10">
        <v>29.43</v>
      </c>
      <c r="AD46" s="2"/>
      <c r="AE46" s="137"/>
    </row>
    <row r="47" spans="1:31" x14ac:dyDescent="0.25">
      <c r="A47" s="260"/>
      <c r="B47" s="265">
        <v>42166</v>
      </c>
      <c r="C47" s="260">
        <v>48</v>
      </c>
      <c r="D47" s="261">
        <v>12.3</v>
      </c>
      <c r="E47" s="261">
        <v>0</v>
      </c>
      <c r="F47" s="261">
        <f t="shared" si="4"/>
        <v>590.40000000000009</v>
      </c>
      <c r="G47" s="265">
        <v>42285</v>
      </c>
      <c r="H47" s="266">
        <v>300</v>
      </c>
      <c r="I47" s="261">
        <v>9.85</v>
      </c>
      <c r="J47" s="261">
        <v>0.05</v>
      </c>
      <c r="K47" s="261">
        <f t="shared" si="3"/>
        <v>2954.95</v>
      </c>
      <c r="L47" s="260"/>
      <c r="M47" s="261"/>
      <c r="N47" s="260"/>
      <c r="O47" s="2"/>
      <c r="P47" s="82">
        <v>1.03</v>
      </c>
      <c r="Q47" s="82">
        <f t="shared" si="2"/>
        <v>35.565899999999999</v>
      </c>
      <c r="R47" s="82"/>
      <c r="T47" s="86"/>
      <c r="U47" s="87"/>
      <c r="W47" s="93">
        <v>42731</v>
      </c>
      <c r="X47" s="10">
        <v>29.58</v>
      </c>
      <c r="Y47" s="10">
        <v>30.04</v>
      </c>
      <c r="Z47" s="10">
        <v>29.4</v>
      </c>
      <c r="AA47" s="10">
        <v>29.65</v>
      </c>
      <c r="AB47" s="94">
        <v>1708000</v>
      </c>
      <c r="AC47" s="10">
        <v>29.65</v>
      </c>
      <c r="AD47" s="2"/>
      <c r="AE47" s="137"/>
    </row>
    <row r="48" spans="1:31" x14ac:dyDescent="0.25">
      <c r="A48" s="260"/>
      <c r="B48" s="265">
        <v>42180</v>
      </c>
      <c r="C48" s="260">
        <v>50</v>
      </c>
      <c r="D48" s="261">
        <v>11.7</v>
      </c>
      <c r="E48" s="261">
        <v>0</v>
      </c>
      <c r="F48" s="261">
        <f t="shared" si="4"/>
        <v>585</v>
      </c>
      <c r="G48" s="265">
        <v>42285</v>
      </c>
      <c r="H48" s="266">
        <v>100</v>
      </c>
      <c r="I48" s="261">
        <v>9.98</v>
      </c>
      <c r="J48" s="261">
        <v>0.02</v>
      </c>
      <c r="K48" s="261">
        <f t="shared" si="3"/>
        <v>997.98</v>
      </c>
      <c r="L48" s="260"/>
      <c r="M48" s="261"/>
      <c r="N48" s="260"/>
      <c r="O48" s="2"/>
      <c r="P48" s="82">
        <v>1.02</v>
      </c>
      <c r="Q48" s="82">
        <f t="shared" si="2"/>
        <v>35.220600000000005</v>
      </c>
      <c r="R48" s="82"/>
      <c r="T48" s="86" t="s">
        <v>105</v>
      </c>
      <c r="U48" s="87" t="s">
        <v>682</v>
      </c>
      <c r="W48" s="93">
        <v>42727</v>
      </c>
      <c r="X48" s="10">
        <v>29.79</v>
      </c>
      <c r="Y48" s="10">
        <v>30.13</v>
      </c>
      <c r="Z48" s="10">
        <v>29.34</v>
      </c>
      <c r="AA48" s="10">
        <v>29.71</v>
      </c>
      <c r="AB48" s="94">
        <v>2881800</v>
      </c>
      <c r="AC48" s="10">
        <v>29.71</v>
      </c>
      <c r="AD48" s="2"/>
      <c r="AE48" s="137"/>
    </row>
    <row r="49" spans="1:31" x14ac:dyDescent="0.25">
      <c r="A49" s="260"/>
      <c r="B49" s="265">
        <v>42198</v>
      </c>
      <c r="C49" s="260">
        <v>50</v>
      </c>
      <c r="D49" s="261">
        <v>10.5</v>
      </c>
      <c r="E49" s="261">
        <v>0</v>
      </c>
      <c r="F49" s="261">
        <f t="shared" si="4"/>
        <v>525</v>
      </c>
      <c r="G49" s="265">
        <v>42304</v>
      </c>
      <c r="H49" s="266">
        <v>1400</v>
      </c>
      <c r="I49" s="261">
        <v>9.4600000000000009</v>
      </c>
      <c r="J49" s="261">
        <v>0.24</v>
      </c>
      <c r="K49" s="261">
        <f t="shared" si="3"/>
        <v>13243.760000000002</v>
      </c>
      <c r="L49" s="260"/>
      <c r="M49" s="261"/>
      <c r="N49" s="260"/>
      <c r="O49" s="2"/>
      <c r="P49" s="82">
        <v>1.01</v>
      </c>
      <c r="Q49" s="82">
        <f t="shared" si="2"/>
        <v>34.875300000000003</v>
      </c>
      <c r="R49" s="82"/>
      <c r="T49" s="86" t="s">
        <v>106</v>
      </c>
      <c r="U49" s="87" t="s">
        <v>484</v>
      </c>
      <c r="W49" s="93">
        <v>42726</v>
      </c>
      <c r="X49" s="10">
        <v>30.21</v>
      </c>
      <c r="Y49" s="10">
        <v>30.35</v>
      </c>
      <c r="Z49" s="10">
        <v>29.54</v>
      </c>
      <c r="AA49" s="10">
        <v>29.75</v>
      </c>
      <c r="AB49" s="94">
        <v>3761600</v>
      </c>
      <c r="AC49" s="10">
        <v>29.75</v>
      </c>
      <c r="AD49" s="2"/>
      <c r="AE49" s="137"/>
    </row>
    <row r="50" spans="1:31" x14ac:dyDescent="0.25">
      <c r="A50" s="260"/>
      <c r="B50" s="265">
        <v>42205</v>
      </c>
      <c r="C50" s="260">
        <v>20</v>
      </c>
      <c r="D50" s="261">
        <v>10.56</v>
      </c>
      <c r="E50" s="261">
        <v>0</v>
      </c>
      <c r="F50" s="261">
        <f t="shared" si="4"/>
        <v>211.20000000000002</v>
      </c>
      <c r="G50" s="265">
        <v>42310</v>
      </c>
      <c r="H50" s="266">
        <v>3400</v>
      </c>
      <c r="I50" s="261">
        <v>9.1199999999999992</v>
      </c>
      <c r="J50" s="261">
        <v>7.52</v>
      </c>
      <c r="K50" s="261">
        <f t="shared" si="3"/>
        <v>31000.479999999996</v>
      </c>
      <c r="L50" s="260"/>
      <c r="M50" s="261"/>
      <c r="N50" s="260"/>
      <c r="O50" s="2"/>
      <c r="P50" s="82">
        <v>1</v>
      </c>
      <c r="Q50" s="82">
        <f t="shared" si="2"/>
        <v>34.53</v>
      </c>
      <c r="R50" s="82"/>
      <c r="T50" s="86" t="s">
        <v>107</v>
      </c>
      <c r="U50" s="89">
        <v>3238051</v>
      </c>
      <c r="W50" s="93">
        <v>42725</v>
      </c>
      <c r="X50" s="10">
        <v>30.19</v>
      </c>
      <c r="Y50" s="10">
        <v>30.43</v>
      </c>
      <c r="Z50" s="10">
        <v>30.02</v>
      </c>
      <c r="AA50" s="10">
        <v>30.43</v>
      </c>
      <c r="AB50" s="94">
        <v>1811200</v>
      </c>
      <c r="AC50" s="10">
        <v>30.43</v>
      </c>
      <c r="AD50" s="2"/>
      <c r="AE50" s="137"/>
    </row>
    <row r="51" spans="1:31" x14ac:dyDescent="0.25">
      <c r="A51" s="260"/>
      <c r="B51" s="265">
        <v>42208</v>
      </c>
      <c r="C51" s="260">
        <v>32</v>
      </c>
      <c r="D51" s="261">
        <v>10.220000000000001</v>
      </c>
      <c r="E51" s="261">
        <v>0</v>
      </c>
      <c r="F51" s="261">
        <f t="shared" si="4"/>
        <v>327.04000000000002</v>
      </c>
      <c r="G51" s="265">
        <v>42314</v>
      </c>
      <c r="H51" s="266">
        <v>1400</v>
      </c>
      <c r="I51" s="261">
        <v>9.42</v>
      </c>
      <c r="J51" s="261">
        <v>0.24</v>
      </c>
      <c r="K51" s="261">
        <f t="shared" si="3"/>
        <v>13187.76</v>
      </c>
      <c r="L51" s="260"/>
      <c r="M51" s="261"/>
      <c r="N51" s="260"/>
      <c r="O51" s="2"/>
      <c r="P51" s="82">
        <v>0.99</v>
      </c>
      <c r="Q51" s="82">
        <f t="shared" si="2"/>
        <v>34.184699999999999</v>
      </c>
      <c r="R51" s="82"/>
      <c r="T51" s="86" t="s">
        <v>110</v>
      </c>
      <c r="U51" s="89">
        <v>4459000</v>
      </c>
      <c r="W51" s="93">
        <v>42724</v>
      </c>
      <c r="X51" s="10">
        <v>29.9</v>
      </c>
      <c r="Y51" s="10">
        <v>30.33</v>
      </c>
      <c r="Z51" s="10">
        <v>29.77</v>
      </c>
      <c r="AA51" s="10">
        <v>30.16</v>
      </c>
      <c r="AB51" s="94">
        <v>3821000</v>
      </c>
      <c r="AC51" s="10">
        <v>30.16</v>
      </c>
      <c r="AD51" s="2"/>
      <c r="AE51" s="137"/>
    </row>
    <row r="52" spans="1:31" x14ac:dyDescent="0.25">
      <c r="A52" s="260"/>
      <c r="B52" s="265">
        <v>42230</v>
      </c>
      <c r="C52" s="260">
        <v>100</v>
      </c>
      <c r="D52" s="261">
        <v>9.58</v>
      </c>
      <c r="E52" s="261">
        <v>0</v>
      </c>
      <c r="F52" s="261">
        <f t="shared" si="4"/>
        <v>958</v>
      </c>
      <c r="G52" s="265">
        <v>42331</v>
      </c>
      <c r="H52" s="266">
        <v>1400</v>
      </c>
      <c r="I52" s="261">
        <v>8.41</v>
      </c>
      <c r="J52" s="261">
        <v>0.22</v>
      </c>
      <c r="K52" s="261">
        <f t="shared" si="3"/>
        <v>11773.78</v>
      </c>
      <c r="L52" s="261"/>
      <c r="M52" s="261"/>
      <c r="N52" s="260"/>
      <c r="O52" s="2"/>
      <c r="P52" s="82">
        <v>0.98</v>
      </c>
      <c r="Q52" s="82">
        <f t="shared" si="2"/>
        <v>33.839399999999998</v>
      </c>
      <c r="R52" s="82"/>
      <c r="T52" s="86" t="s">
        <v>108</v>
      </c>
      <c r="U52" s="87" t="s">
        <v>683</v>
      </c>
      <c r="W52" s="93">
        <v>42723</v>
      </c>
      <c r="X52" s="10">
        <v>28.89</v>
      </c>
      <c r="Y52" s="10">
        <v>29.49</v>
      </c>
      <c r="Z52" s="10">
        <v>28.75</v>
      </c>
      <c r="AA52" s="10">
        <v>29.29</v>
      </c>
      <c r="AB52" s="94">
        <v>2557400</v>
      </c>
      <c r="AC52" s="10">
        <v>29.29</v>
      </c>
      <c r="AD52" s="2"/>
      <c r="AE52" s="137"/>
    </row>
    <row r="53" spans="1:31" x14ac:dyDescent="0.25">
      <c r="A53" s="260"/>
      <c r="B53" s="265">
        <v>42233</v>
      </c>
      <c r="C53" s="260">
        <v>150</v>
      </c>
      <c r="D53" s="261">
        <v>9.3000000000000007</v>
      </c>
      <c r="E53" s="261">
        <v>0</v>
      </c>
      <c r="F53" s="261">
        <f t="shared" si="4"/>
        <v>1395</v>
      </c>
      <c r="G53" s="265">
        <v>42331</v>
      </c>
      <c r="H53" s="266">
        <v>65</v>
      </c>
      <c r="I53" s="261">
        <v>8.41</v>
      </c>
      <c r="J53" s="261">
        <v>0.01</v>
      </c>
      <c r="K53" s="261">
        <f t="shared" si="3"/>
        <v>546.64</v>
      </c>
      <c r="L53" s="260"/>
      <c r="M53" s="260"/>
      <c r="N53" s="260"/>
      <c r="O53" s="2"/>
      <c r="P53" s="82">
        <v>0.97</v>
      </c>
      <c r="Q53" s="82">
        <f t="shared" si="2"/>
        <v>33.494100000000003</v>
      </c>
      <c r="R53" s="82"/>
      <c r="T53" s="86" t="s">
        <v>111</v>
      </c>
      <c r="U53" s="87" t="s">
        <v>129</v>
      </c>
      <c r="W53" s="93">
        <v>42720</v>
      </c>
      <c r="X53" s="10">
        <v>29.65</v>
      </c>
      <c r="Y53" s="10">
        <v>30.42</v>
      </c>
      <c r="Z53" s="10">
        <v>29.16</v>
      </c>
      <c r="AA53" s="10">
        <v>29.4</v>
      </c>
      <c r="AB53" s="94">
        <v>7656400</v>
      </c>
      <c r="AC53" s="10">
        <v>29.4</v>
      </c>
      <c r="AD53" s="2"/>
      <c r="AE53" s="137"/>
    </row>
    <row r="54" spans="1:31" x14ac:dyDescent="0.25">
      <c r="A54" s="260"/>
      <c r="B54" s="265">
        <v>42240</v>
      </c>
      <c r="C54" s="260">
        <v>200</v>
      </c>
      <c r="D54" s="261">
        <v>9.2100000000000009</v>
      </c>
      <c r="E54" s="261">
        <v>0</v>
      </c>
      <c r="F54" s="261">
        <f t="shared" si="4"/>
        <v>1842.0000000000002</v>
      </c>
      <c r="G54" s="265">
        <v>42332</v>
      </c>
      <c r="H54" s="266">
        <v>2235</v>
      </c>
      <c r="I54" s="261">
        <v>8.5</v>
      </c>
      <c r="J54" s="261">
        <v>0.35</v>
      </c>
      <c r="K54" s="261">
        <f t="shared" si="3"/>
        <v>18997.150000000001</v>
      </c>
      <c r="L54" s="260"/>
      <c r="M54" s="260"/>
      <c r="N54" s="260"/>
      <c r="O54" s="2"/>
      <c r="P54" s="82">
        <v>0.96</v>
      </c>
      <c r="Q54" s="82">
        <f t="shared" si="2"/>
        <v>33.148800000000001</v>
      </c>
      <c r="R54" s="82"/>
      <c r="T54" s="86" t="s">
        <v>112</v>
      </c>
      <c r="U54" s="87">
        <v>-2.19</v>
      </c>
      <c r="W54" s="93">
        <v>42719</v>
      </c>
      <c r="X54" s="10">
        <v>30.16</v>
      </c>
      <c r="Y54" s="10">
        <v>30.44</v>
      </c>
      <c r="Z54" s="10">
        <v>29.65</v>
      </c>
      <c r="AA54" s="10">
        <v>29.79</v>
      </c>
      <c r="AB54" s="94">
        <v>3751600</v>
      </c>
      <c r="AC54" s="10">
        <v>29.79</v>
      </c>
      <c r="AD54" s="2"/>
      <c r="AE54" s="137"/>
    </row>
    <row r="55" spans="1:31" x14ac:dyDescent="0.25">
      <c r="A55" s="260"/>
      <c r="B55" s="265">
        <v>42272</v>
      </c>
      <c r="C55" s="260">
        <v>100</v>
      </c>
      <c r="D55" s="261">
        <v>9.4499999999999993</v>
      </c>
      <c r="E55" s="261">
        <v>0</v>
      </c>
      <c r="F55" s="261">
        <f t="shared" si="4"/>
        <v>944.99999999999989</v>
      </c>
      <c r="G55" s="265">
        <v>42332</v>
      </c>
      <c r="H55" s="266">
        <v>600</v>
      </c>
      <c r="I55" s="261">
        <v>8.75</v>
      </c>
      <c r="J55" s="261">
        <v>0.1</v>
      </c>
      <c r="K55" s="261">
        <f t="shared" si="3"/>
        <v>5249.9</v>
      </c>
      <c r="L55" s="260"/>
      <c r="M55" s="260"/>
      <c r="N55" s="260"/>
      <c r="O55" s="2"/>
      <c r="P55" s="82">
        <v>0.95</v>
      </c>
      <c r="Q55" s="82">
        <f t="shared" si="2"/>
        <v>32.8035</v>
      </c>
      <c r="R55" s="82"/>
      <c r="T55" s="86" t="s">
        <v>109</v>
      </c>
      <c r="U55" s="87" t="s">
        <v>316</v>
      </c>
      <c r="W55" s="93">
        <v>42718</v>
      </c>
      <c r="X55" s="10">
        <v>30.11</v>
      </c>
      <c r="Y55" s="10">
        <v>31.32</v>
      </c>
      <c r="Z55" s="10">
        <v>30.03</v>
      </c>
      <c r="AA55" s="10">
        <v>30.45</v>
      </c>
      <c r="AB55" s="94">
        <v>3175000</v>
      </c>
      <c r="AC55" s="10">
        <v>30.45</v>
      </c>
      <c r="AD55" s="2"/>
      <c r="AE55" s="137"/>
    </row>
    <row r="56" spans="1:31" x14ac:dyDescent="0.25">
      <c r="A56" s="260"/>
      <c r="B56" s="265">
        <v>42275</v>
      </c>
      <c r="C56" s="260">
        <v>100</v>
      </c>
      <c r="D56" s="261">
        <v>9.3000000000000007</v>
      </c>
      <c r="E56" s="261">
        <v>0</v>
      </c>
      <c r="F56" s="261">
        <f t="shared" si="4"/>
        <v>930.00000000000011</v>
      </c>
      <c r="G56" s="265">
        <v>42335</v>
      </c>
      <c r="H56" s="266">
        <v>500</v>
      </c>
      <c r="I56" s="261">
        <v>9.1</v>
      </c>
      <c r="J56" s="261">
        <v>0.08</v>
      </c>
      <c r="K56" s="261">
        <f t="shared" si="3"/>
        <v>4549.92</v>
      </c>
      <c r="L56" s="260"/>
      <c r="M56" s="260"/>
      <c r="N56" s="260"/>
      <c r="O56" s="2"/>
      <c r="P56" s="82">
        <v>0.94</v>
      </c>
      <c r="Q56" s="82">
        <f t="shared" si="2"/>
        <v>32.458199999999998</v>
      </c>
      <c r="R56" s="82"/>
      <c r="W56" s="93">
        <v>42717</v>
      </c>
      <c r="X56" s="10">
        <v>31.4</v>
      </c>
      <c r="Y56" s="10">
        <v>31.73</v>
      </c>
      <c r="Z56" s="10">
        <v>30.03</v>
      </c>
      <c r="AA56" s="10">
        <v>30.24</v>
      </c>
      <c r="AB56" s="94">
        <v>4187700</v>
      </c>
      <c r="AC56" s="10">
        <v>30.24</v>
      </c>
      <c r="AD56" s="2"/>
      <c r="AE56" s="137"/>
    </row>
    <row r="57" spans="1:31" x14ac:dyDescent="0.25">
      <c r="A57" s="260"/>
      <c r="B57" s="265">
        <v>42290</v>
      </c>
      <c r="C57" s="260">
        <v>400</v>
      </c>
      <c r="D57" s="261">
        <v>10.79</v>
      </c>
      <c r="E57" s="261">
        <v>0</v>
      </c>
      <c r="F57" s="261">
        <f t="shared" si="4"/>
        <v>4316</v>
      </c>
      <c r="G57" s="265">
        <v>42339</v>
      </c>
      <c r="H57" s="266">
        <v>400</v>
      </c>
      <c r="I57" s="261">
        <v>9.35</v>
      </c>
      <c r="J57" s="261">
        <v>7.0000000000000007E-2</v>
      </c>
      <c r="K57" s="261">
        <f t="shared" si="3"/>
        <v>3739.93</v>
      </c>
      <c r="L57" s="260"/>
      <c r="M57" s="260"/>
      <c r="N57" s="260"/>
      <c r="O57" s="2"/>
      <c r="P57" s="82">
        <v>0.93</v>
      </c>
      <c r="Q57" s="82">
        <f t="shared" si="2"/>
        <v>32.112900000000003</v>
      </c>
      <c r="R57" s="82"/>
      <c r="W57" s="93">
        <v>42716</v>
      </c>
      <c r="X57" s="10">
        <v>32.159999999999997</v>
      </c>
      <c r="Y57" s="10">
        <v>32.35</v>
      </c>
      <c r="Z57" s="10">
        <v>30.85</v>
      </c>
      <c r="AA57" s="10">
        <v>31.24</v>
      </c>
      <c r="AB57" s="94">
        <v>3415200</v>
      </c>
      <c r="AC57" s="10">
        <v>31.24</v>
      </c>
      <c r="AD57" s="2"/>
      <c r="AE57" s="137"/>
    </row>
    <row r="58" spans="1:31" x14ac:dyDescent="0.25">
      <c r="A58" s="260"/>
      <c r="B58" s="265">
        <v>42291</v>
      </c>
      <c r="C58" s="260">
        <v>150</v>
      </c>
      <c r="D58" s="261">
        <v>10.46</v>
      </c>
      <c r="E58" s="261">
        <v>0</v>
      </c>
      <c r="F58" s="261">
        <f t="shared" si="4"/>
        <v>1569.0000000000002</v>
      </c>
      <c r="G58" s="265">
        <v>42342</v>
      </c>
      <c r="H58" s="266">
        <v>500</v>
      </c>
      <c r="I58" s="261">
        <v>9.52</v>
      </c>
      <c r="J58" s="261">
        <v>0.09</v>
      </c>
      <c r="K58" s="261">
        <f t="shared" si="3"/>
        <v>4759.91</v>
      </c>
      <c r="L58" s="260"/>
      <c r="M58" s="260"/>
      <c r="N58" s="260"/>
      <c r="O58" s="2"/>
      <c r="P58" s="82">
        <v>0.92</v>
      </c>
      <c r="Q58" s="82">
        <f t="shared" si="2"/>
        <v>31.767600000000002</v>
      </c>
      <c r="R58" s="82"/>
      <c r="W58" s="93">
        <v>42713</v>
      </c>
      <c r="X58" s="10">
        <v>31.31</v>
      </c>
      <c r="Y58" s="10">
        <v>32.11</v>
      </c>
      <c r="Z58" s="10">
        <v>31.04</v>
      </c>
      <c r="AA58" s="10">
        <v>32.049999999999997</v>
      </c>
      <c r="AB58" s="94">
        <v>4304200</v>
      </c>
      <c r="AC58" s="10">
        <v>32.049999999999997</v>
      </c>
      <c r="AD58" s="2"/>
      <c r="AE58" s="137"/>
    </row>
    <row r="59" spans="1:31" x14ac:dyDescent="0.25">
      <c r="A59" s="260"/>
      <c r="B59" s="265">
        <v>42292</v>
      </c>
      <c r="C59" s="260">
        <v>150</v>
      </c>
      <c r="D59" s="261">
        <v>10.3</v>
      </c>
      <c r="E59" s="261">
        <v>0</v>
      </c>
      <c r="F59" s="261">
        <f t="shared" si="4"/>
        <v>1545</v>
      </c>
      <c r="G59" s="265">
        <v>42347</v>
      </c>
      <c r="H59" s="266">
        <v>1500</v>
      </c>
      <c r="I59" s="261">
        <v>9.31</v>
      </c>
      <c r="J59" s="261">
        <v>0.26</v>
      </c>
      <c r="K59" s="261">
        <f t="shared" si="3"/>
        <v>13964.74</v>
      </c>
      <c r="L59" s="260"/>
      <c r="M59" s="260"/>
      <c r="N59" s="260"/>
      <c r="O59" s="2"/>
      <c r="P59" s="82">
        <v>0.91</v>
      </c>
      <c r="Q59" s="82">
        <f t="shared" si="2"/>
        <v>31.422300000000003</v>
      </c>
      <c r="R59" s="82"/>
      <c r="W59" s="93">
        <v>42712</v>
      </c>
      <c r="X59" s="10">
        <v>31.28</v>
      </c>
      <c r="Y59" s="10">
        <v>31.84</v>
      </c>
      <c r="Z59" s="10">
        <v>30.8</v>
      </c>
      <c r="AA59" s="10">
        <v>31.31</v>
      </c>
      <c r="AB59" s="94">
        <v>3064500</v>
      </c>
      <c r="AC59" s="10">
        <v>31.31</v>
      </c>
      <c r="AD59" s="2"/>
      <c r="AE59" s="137"/>
    </row>
    <row r="60" spans="1:31" x14ac:dyDescent="0.25">
      <c r="A60" s="260"/>
      <c r="B60" s="265">
        <v>42297</v>
      </c>
      <c r="C60" s="266">
        <v>200</v>
      </c>
      <c r="D60" s="261">
        <v>9.8000000000000007</v>
      </c>
      <c r="E60" s="261">
        <v>0</v>
      </c>
      <c r="F60" s="261">
        <f t="shared" si="4"/>
        <v>1960.0000000000002</v>
      </c>
      <c r="G60" s="265">
        <v>42353</v>
      </c>
      <c r="H60" s="266">
        <v>200</v>
      </c>
      <c r="I60" s="261">
        <v>9.2899999999999991</v>
      </c>
      <c r="J60" s="261">
        <v>0.03</v>
      </c>
      <c r="K60" s="261">
        <f t="shared" si="3"/>
        <v>1857.9699999999998</v>
      </c>
      <c r="L60" s="260"/>
      <c r="M60" s="260"/>
      <c r="N60" s="260"/>
      <c r="O60" s="2"/>
      <c r="P60" s="82">
        <v>0.9</v>
      </c>
      <c r="Q60" s="82">
        <f t="shared" si="2"/>
        <v>31.077000000000002</v>
      </c>
      <c r="R60" s="82"/>
      <c r="W60" s="93">
        <v>42711</v>
      </c>
      <c r="X60" s="10">
        <v>31.3</v>
      </c>
      <c r="Y60" s="10">
        <v>31.89</v>
      </c>
      <c r="Z60" s="10">
        <v>30.76</v>
      </c>
      <c r="AA60" s="10">
        <v>30.9</v>
      </c>
      <c r="AB60" s="94">
        <v>5777400</v>
      </c>
      <c r="AC60" s="10">
        <v>30.9</v>
      </c>
      <c r="AD60" s="2"/>
      <c r="AE60" s="137"/>
    </row>
    <row r="61" spans="1:31" x14ac:dyDescent="0.25">
      <c r="A61" s="260"/>
      <c r="B61" s="265">
        <v>42297</v>
      </c>
      <c r="C61" s="266">
        <v>900</v>
      </c>
      <c r="D61" s="261">
        <v>9.74</v>
      </c>
      <c r="E61" s="261">
        <v>0</v>
      </c>
      <c r="F61" s="261">
        <f t="shared" si="4"/>
        <v>8766</v>
      </c>
      <c r="G61" s="265">
        <v>42354</v>
      </c>
      <c r="H61" s="266">
        <v>500</v>
      </c>
      <c r="I61" s="261">
        <v>8.93</v>
      </c>
      <c r="J61" s="261">
        <v>0.08</v>
      </c>
      <c r="K61" s="261">
        <f t="shared" si="3"/>
        <v>4464.92</v>
      </c>
      <c r="L61" s="260"/>
      <c r="M61" s="260"/>
      <c r="N61" s="260"/>
      <c r="W61" s="93">
        <v>42710</v>
      </c>
      <c r="X61" s="10">
        <v>30.71</v>
      </c>
      <c r="Y61" s="10">
        <v>31.19</v>
      </c>
      <c r="Z61" s="10">
        <v>30.21</v>
      </c>
      <c r="AA61" s="10">
        <v>31.15</v>
      </c>
      <c r="AB61" s="94">
        <v>3235700</v>
      </c>
      <c r="AC61" s="10">
        <v>31.15</v>
      </c>
      <c r="AD61" s="2"/>
      <c r="AE61" s="137"/>
    </row>
    <row r="62" spans="1:31" x14ac:dyDescent="0.25">
      <c r="A62" s="260"/>
      <c r="B62" s="265">
        <v>42299</v>
      </c>
      <c r="C62" s="260">
        <v>1000</v>
      </c>
      <c r="D62" s="261">
        <v>9.3800000000000008</v>
      </c>
      <c r="E62" s="261">
        <v>0</v>
      </c>
      <c r="F62" s="261">
        <f t="shared" si="4"/>
        <v>9380</v>
      </c>
      <c r="G62" s="265">
        <v>42366</v>
      </c>
      <c r="H62" s="266">
        <v>2000</v>
      </c>
      <c r="I62" s="261">
        <v>9.4499999999999993</v>
      </c>
      <c r="J62" s="261">
        <v>0.35</v>
      </c>
      <c r="K62" s="261">
        <f t="shared" si="3"/>
        <v>18899.650000000001</v>
      </c>
      <c r="L62" s="260"/>
      <c r="M62" s="260"/>
      <c r="N62" s="260"/>
      <c r="W62" s="93">
        <v>42709</v>
      </c>
      <c r="X62" s="10">
        <v>29.03</v>
      </c>
      <c r="Y62" s="10">
        <v>31.28</v>
      </c>
      <c r="Z62" s="10">
        <v>28.89</v>
      </c>
      <c r="AA62" s="10">
        <v>31.22</v>
      </c>
      <c r="AB62" s="94">
        <v>7031500</v>
      </c>
      <c r="AC62" s="10">
        <v>31.22</v>
      </c>
      <c r="AD62" s="2"/>
      <c r="AE62" s="137"/>
    </row>
    <row r="63" spans="1:31" x14ac:dyDescent="0.25">
      <c r="A63" s="260"/>
      <c r="B63" s="265">
        <v>42303</v>
      </c>
      <c r="C63" s="260">
        <v>400</v>
      </c>
      <c r="D63" s="261">
        <v>9.1999999999999993</v>
      </c>
      <c r="E63" s="261">
        <v>0</v>
      </c>
      <c r="F63" s="261">
        <f t="shared" si="4"/>
        <v>3679.9999999999995</v>
      </c>
      <c r="G63" s="265">
        <v>42367</v>
      </c>
      <c r="H63" s="266">
        <v>1000</v>
      </c>
      <c r="I63" s="261">
        <v>9.89</v>
      </c>
      <c r="J63" s="261">
        <v>0.18</v>
      </c>
      <c r="K63" s="261">
        <f t="shared" si="3"/>
        <v>9889.82</v>
      </c>
      <c r="L63" s="260"/>
      <c r="M63" s="260"/>
      <c r="N63" s="260"/>
      <c r="W63" s="93">
        <v>42706</v>
      </c>
      <c r="X63" s="10">
        <v>28.86</v>
      </c>
      <c r="Y63" s="10">
        <v>29.63</v>
      </c>
      <c r="Z63" s="10">
        <v>28.73</v>
      </c>
      <c r="AA63" s="10">
        <v>29.04</v>
      </c>
      <c r="AB63" s="94">
        <v>3870300</v>
      </c>
      <c r="AC63" s="10">
        <v>29.04</v>
      </c>
      <c r="AD63" s="2"/>
      <c r="AE63" s="137"/>
    </row>
    <row r="64" spans="1:31" x14ac:dyDescent="0.25">
      <c r="A64" s="260"/>
      <c r="B64" s="280">
        <v>42304</v>
      </c>
      <c r="C64" s="260">
        <v>900</v>
      </c>
      <c r="D64" s="261">
        <v>9.32</v>
      </c>
      <c r="E64" s="261">
        <v>0</v>
      </c>
      <c r="F64" s="261">
        <f t="shared" si="4"/>
        <v>8388</v>
      </c>
      <c r="G64" s="265">
        <v>42398</v>
      </c>
      <c r="H64" s="266">
        <v>100</v>
      </c>
      <c r="I64" s="261">
        <v>7.21</v>
      </c>
      <c r="J64" s="261">
        <v>0.01</v>
      </c>
      <c r="K64" s="261">
        <f t="shared" si="3"/>
        <v>720.99</v>
      </c>
      <c r="L64" s="260"/>
      <c r="M64" s="260"/>
      <c r="N64" s="260"/>
      <c r="W64" s="93">
        <v>42705</v>
      </c>
      <c r="X64" s="10">
        <v>28.84</v>
      </c>
      <c r="Y64" s="10">
        <v>29.42</v>
      </c>
      <c r="Z64" s="10">
        <v>28.6</v>
      </c>
      <c r="AA64" s="10">
        <v>28.88</v>
      </c>
      <c r="AB64" s="94">
        <v>4960400</v>
      </c>
      <c r="AC64" s="10">
        <v>28.88</v>
      </c>
      <c r="AD64" s="2"/>
      <c r="AE64" s="137"/>
    </row>
    <row r="65" spans="1:31" x14ac:dyDescent="0.25">
      <c r="A65" s="260"/>
      <c r="B65" s="280"/>
      <c r="C65" s="260">
        <v>500</v>
      </c>
      <c r="D65" s="261">
        <v>9.32</v>
      </c>
      <c r="E65" s="261">
        <v>0</v>
      </c>
      <c r="F65" s="261">
        <f t="shared" si="4"/>
        <v>4660</v>
      </c>
      <c r="G65" s="265">
        <v>42403</v>
      </c>
      <c r="H65" s="266">
        <v>100</v>
      </c>
      <c r="I65" s="261">
        <v>7.42</v>
      </c>
      <c r="J65" s="261">
        <v>0.01</v>
      </c>
      <c r="K65" s="261">
        <f t="shared" si="3"/>
        <v>741.99</v>
      </c>
      <c r="L65" s="261"/>
      <c r="M65" s="260"/>
      <c r="N65" s="260"/>
      <c r="W65" s="93">
        <v>42704</v>
      </c>
      <c r="X65" s="10">
        <v>30.06</v>
      </c>
      <c r="Y65" s="10">
        <v>30.44</v>
      </c>
      <c r="Z65" s="10">
        <v>28.85</v>
      </c>
      <c r="AA65" s="10">
        <v>28.97</v>
      </c>
      <c r="AB65" s="94">
        <v>5127700</v>
      </c>
      <c r="AC65" s="10">
        <v>28.97</v>
      </c>
      <c r="AD65" s="2"/>
      <c r="AE65" s="137"/>
    </row>
    <row r="66" spans="1:31" x14ac:dyDescent="0.25">
      <c r="A66" s="260"/>
      <c r="B66" s="265">
        <v>42306</v>
      </c>
      <c r="C66" s="260">
        <v>300</v>
      </c>
      <c r="D66" s="261">
        <v>8.7200000000000006</v>
      </c>
      <c r="E66" s="261">
        <v>6.95</v>
      </c>
      <c r="F66" s="261">
        <f t="shared" si="4"/>
        <v>2622.95</v>
      </c>
      <c r="G66" s="265">
        <v>42404</v>
      </c>
      <c r="H66" s="266">
        <v>100</v>
      </c>
      <c r="I66" s="261">
        <v>8.02</v>
      </c>
      <c r="J66" s="261">
        <v>0.01</v>
      </c>
      <c r="K66" s="261">
        <f t="shared" si="3"/>
        <v>801.99</v>
      </c>
      <c r="L66" s="260"/>
      <c r="M66" s="260"/>
      <c r="N66" s="260"/>
      <c r="W66" s="93">
        <v>42703</v>
      </c>
      <c r="X66" s="10">
        <v>30.02</v>
      </c>
      <c r="Y66" s="10">
        <v>30.5</v>
      </c>
      <c r="Z66" s="10">
        <v>29.73</v>
      </c>
      <c r="AA66" s="10">
        <v>29.73</v>
      </c>
      <c r="AB66" s="94">
        <v>4805300</v>
      </c>
      <c r="AC66" s="10">
        <v>29.73</v>
      </c>
      <c r="AD66" s="2"/>
      <c r="AE66" s="137"/>
    </row>
    <row r="67" spans="1:31" x14ac:dyDescent="0.25">
      <c r="A67" s="260"/>
      <c r="B67" s="265">
        <v>42310</v>
      </c>
      <c r="C67" s="260">
        <v>3400</v>
      </c>
      <c r="D67" s="261">
        <v>9.0299999999999994</v>
      </c>
      <c r="E67" s="261">
        <v>6.95</v>
      </c>
      <c r="F67" s="261">
        <f t="shared" si="4"/>
        <v>30708.949999999997</v>
      </c>
      <c r="G67" s="265">
        <v>42416</v>
      </c>
      <c r="H67" s="266">
        <v>300</v>
      </c>
      <c r="I67" s="261">
        <v>7.98</v>
      </c>
      <c r="J67" s="261">
        <v>0.05</v>
      </c>
      <c r="K67" s="261">
        <f t="shared" si="3"/>
        <v>2393.9499999999998</v>
      </c>
      <c r="L67" s="260"/>
      <c r="M67" s="260"/>
      <c r="N67" s="260"/>
      <c r="W67" s="93">
        <v>42702</v>
      </c>
      <c r="X67" s="10">
        <v>31.48</v>
      </c>
      <c r="Y67" s="10">
        <v>31.8</v>
      </c>
      <c r="Z67" s="10">
        <v>30.7</v>
      </c>
      <c r="AA67" s="10">
        <v>30.86</v>
      </c>
      <c r="AB67" s="94">
        <v>5119200</v>
      </c>
      <c r="AC67" s="10">
        <v>30.86</v>
      </c>
      <c r="AD67" s="2"/>
      <c r="AE67" s="137"/>
    </row>
    <row r="68" spans="1:31" x14ac:dyDescent="0.25">
      <c r="A68" s="260"/>
      <c r="B68" s="265">
        <v>42314</v>
      </c>
      <c r="C68" s="260">
        <v>1400</v>
      </c>
      <c r="D68" s="261">
        <v>9.35</v>
      </c>
      <c r="E68" s="261">
        <v>0</v>
      </c>
      <c r="F68" s="261">
        <f t="shared" si="4"/>
        <v>13090</v>
      </c>
      <c r="G68" s="265">
        <v>42444</v>
      </c>
      <c r="H68" s="260">
        <v>200</v>
      </c>
      <c r="I68" s="261">
        <v>9.49</v>
      </c>
      <c r="J68" s="261">
        <v>0.04</v>
      </c>
      <c r="K68" s="261">
        <v>1897.96</v>
      </c>
      <c r="L68" s="260"/>
      <c r="M68" s="260"/>
      <c r="N68" s="260"/>
      <c r="W68" s="93" t="s">
        <v>121</v>
      </c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265">
        <v>42324</v>
      </c>
      <c r="C69" s="274">
        <v>3700</v>
      </c>
      <c r="D69" s="261">
        <v>8.2899999999999991</v>
      </c>
      <c r="E69" s="261">
        <v>0</v>
      </c>
      <c r="F69" s="261">
        <f t="shared" si="4"/>
        <v>30672.999999999996</v>
      </c>
      <c r="G69" s="265"/>
      <c r="H69" s="266"/>
      <c r="I69" s="261"/>
      <c r="J69" s="261"/>
      <c r="K69" s="261"/>
      <c r="L69" s="260"/>
      <c r="M69" s="260"/>
      <c r="N69" s="260"/>
      <c r="AD69" s="2"/>
      <c r="AE69" s="137"/>
    </row>
    <row r="70" spans="1:31" x14ac:dyDescent="0.25">
      <c r="A70" s="260"/>
      <c r="B70" s="265">
        <v>42324</v>
      </c>
      <c r="C70" s="274">
        <v>600</v>
      </c>
      <c r="D70" s="261">
        <v>8.14</v>
      </c>
      <c r="E70" s="261">
        <v>0</v>
      </c>
      <c r="F70" s="261">
        <f t="shared" si="4"/>
        <v>4884</v>
      </c>
      <c r="G70" s="265"/>
      <c r="H70" s="266"/>
      <c r="I70" s="261"/>
      <c r="J70" s="261"/>
      <c r="K70" s="261"/>
      <c r="L70" s="260"/>
      <c r="M70" s="260"/>
      <c r="N70" s="260"/>
    </row>
    <row r="71" spans="1:31" x14ac:dyDescent="0.25">
      <c r="A71" s="260"/>
      <c r="B71" s="265">
        <v>42335</v>
      </c>
      <c r="C71" s="260">
        <v>500</v>
      </c>
      <c r="D71" s="261">
        <v>9.06</v>
      </c>
      <c r="E71" s="261">
        <v>0</v>
      </c>
      <c r="F71" s="261">
        <f t="shared" si="4"/>
        <v>4530</v>
      </c>
      <c r="G71" s="260"/>
      <c r="H71" s="266"/>
      <c r="I71" s="261"/>
      <c r="J71" s="261"/>
      <c r="K71" s="261"/>
      <c r="L71" s="260"/>
      <c r="M71" s="260"/>
      <c r="N71" s="260"/>
    </row>
    <row r="72" spans="1:31" x14ac:dyDescent="0.25">
      <c r="A72" s="260"/>
      <c r="B72" s="265">
        <v>42345</v>
      </c>
      <c r="C72" s="260">
        <v>200</v>
      </c>
      <c r="D72" s="261">
        <v>9.35</v>
      </c>
      <c r="E72" s="261">
        <v>0</v>
      </c>
      <c r="F72" s="261">
        <f t="shared" si="4"/>
        <v>1870</v>
      </c>
      <c r="G72" s="260"/>
      <c r="H72" s="266"/>
      <c r="I72" s="261"/>
      <c r="J72" s="261"/>
      <c r="K72" s="261"/>
      <c r="L72" s="260"/>
      <c r="M72" s="260"/>
      <c r="N72" s="260"/>
    </row>
    <row r="73" spans="1:31" x14ac:dyDescent="0.25">
      <c r="A73" s="260"/>
      <c r="B73" s="265">
        <v>42347</v>
      </c>
      <c r="C73" s="260">
        <v>1500</v>
      </c>
      <c r="D73" s="261">
        <v>9.2759999999999998</v>
      </c>
      <c r="E73" s="261">
        <v>0</v>
      </c>
      <c r="F73" s="261">
        <f t="shared" si="4"/>
        <v>13914</v>
      </c>
      <c r="G73" s="260"/>
      <c r="H73" s="266"/>
      <c r="I73" s="261"/>
      <c r="J73" s="261"/>
      <c r="K73" s="261"/>
      <c r="L73" s="260"/>
      <c r="M73" s="260"/>
      <c r="N73" s="260"/>
    </row>
    <row r="74" spans="1:31" x14ac:dyDescent="0.25">
      <c r="A74" s="260"/>
      <c r="B74" s="265">
        <v>42348</v>
      </c>
      <c r="C74" s="260">
        <v>100</v>
      </c>
      <c r="D74" s="261">
        <v>8.9499999999999993</v>
      </c>
      <c r="E74" s="261">
        <v>0</v>
      </c>
      <c r="F74" s="261">
        <f t="shared" si="4"/>
        <v>894.99999999999989</v>
      </c>
      <c r="G74" s="260"/>
      <c r="H74" s="266"/>
      <c r="I74" s="261"/>
      <c r="J74" s="261"/>
      <c r="K74" s="261"/>
      <c r="L74" s="260"/>
      <c r="M74" s="260"/>
      <c r="N74" s="260"/>
    </row>
    <row r="75" spans="1:31" x14ac:dyDescent="0.25">
      <c r="A75" s="260"/>
      <c r="B75" s="265">
        <v>42353</v>
      </c>
      <c r="C75" s="260">
        <v>100</v>
      </c>
      <c r="D75" s="261">
        <v>9.2200000000000006</v>
      </c>
      <c r="E75" s="261">
        <v>0</v>
      </c>
      <c r="F75" s="261">
        <f t="shared" si="4"/>
        <v>922.00000000000011</v>
      </c>
      <c r="G75" s="260"/>
      <c r="H75" s="266"/>
      <c r="I75" s="261"/>
      <c r="J75" s="261"/>
      <c r="K75" s="261"/>
      <c r="L75" s="260"/>
      <c r="M75" s="260"/>
      <c r="N75" s="260"/>
    </row>
    <row r="76" spans="1:31" x14ac:dyDescent="0.25">
      <c r="A76" s="260"/>
      <c r="B76" s="265">
        <v>42354</v>
      </c>
      <c r="C76" s="260">
        <v>500</v>
      </c>
      <c r="D76" s="261">
        <v>8.85</v>
      </c>
      <c r="E76" s="261">
        <v>0</v>
      </c>
      <c r="F76" s="261">
        <f t="shared" si="4"/>
        <v>4425</v>
      </c>
      <c r="G76" s="260"/>
      <c r="H76" s="266"/>
      <c r="I76" s="261"/>
      <c r="J76" s="261"/>
      <c r="K76" s="261"/>
      <c r="L76" s="260"/>
      <c r="M76" s="260"/>
      <c r="N76" s="260"/>
    </row>
    <row r="77" spans="1:31" x14ac:dyDescent="0.25">
      <c r="A77" s="260"/>
      <c r="B77" s="265">
        <v>42377</v>
      </c>
      <c r="C77" s="260">
        <v>400</v>
      </c>
      <c r="D77" s="261">
        <v>8.0399999999999991</v>
      </c>
      <c r="E77" s="261">
        <v>0</v>
      </c>
      <c r="F77" s="261">
        <f t="shared" si="4"/>
        <v>3215.9999999999995</v>
      </c>
      <c r="G77" s="260"/>
      <c r="H77" s="260"/>
      <c r="I77" s="261"/>
      <c r="J77" s="261"/>
      <c r="K77" s="261"/>
      <c r="L77" s="260"/>
      <c r="M77" s="260"/>
      <c r="N77" s="260"/>
    </row>
    <row r="78" spans="1:31" x14ac:dyDescent="0.25">
      <c r="A78" s="260"/>
      <c r="B78" s="265">
        <v>42389</v>
      </c>
      <c r="C78" s="260">
        <v>100</v>
      </c>
      <c r="D78" s="261">
        <v>6.45</v>
      </c>
      <c r="E78" s="261">
        <v>0</v>
      </c>
      <c r="F78" s="261">
        <f t="shared" si="4"/>
        <v>645</v>
      </c>
      <c r="G78" s="260"/>
      <c r="H78" s="260"/>
      <c r="I78" s="261"/>
      <c r="J78" s="261"/>
      <c r="K78" s="261"/>
      <c r="L78" s="260"/>
      <c r="M78" s="260"/>
      <c r="N78" s="260"/>
    </row>
    <row r="79" spans="1:31" x14ac:dyDescent="0.25">
      <c r="A79" s="260"/>
      <c r="B79" s="265">
        <v>42402</v>
      </c>
      <c r="C79" s="260">
        <v>100</v>
      </c>
      <c r="D79" s="261">
        <v>6.95</v>
      </c>
      <c r="E79" s="261">
        <v>0</v>
      </c>
      <c r="F79" s="261">
        <f t="shared" si="4"/>
        <v>695</v>
      </c>
      <c r="G79" s="260"/>
      <c r="H79" s="260"/>
      <c r="I79" s="261"/>
      <c r="J79" s="261"/>
      <c r="K79" s="261"/>
      <c r="L79" s="260"/>
      <c r="M79" s="260"/>
      <c r="N79" s="260"/>
    </row>
    <row r="80" spans="1:31" x14ac:dyDescent="0.25">
      <c r="A80" s="260"/>
      <c r="B80" s="265">
        <v>42444</v>
      </c>
      <c r="C80" s="260">
        <v>200</v>
      </c>
      <c r="D80" s="261">
        <v>9.4499999999999993</v>
      </c>
      <c r="E80" s="261">
        <v>0</v>
      </c>
      <c r="F80" s="261">
        <v>1889.9999999999998</v>
      </c>
      <c r="G80" s="260"/>
      <c r="H80" s="260"/>
      <c r="I80" s="261"/>
      <c r="J80" s="261"/>
      <c r="K80" s="261"/>
      <c r="L80" s="260"/>
      <c r="M80" s="260"/>
      <c r="N80" s="260"/>
    </row>
    <row r="81" spans="1:14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  <c r="N81" s="378"/>
    </row>
    <row r="82" spans="1:14" x14ac:dyDescent="0.25">
      <c r="A82" s="378"/>
      <c r="B82" s="377">
        <v>42545</v>
      </c>
      <c r="C82" s="378">
        <v>250</v>
      </c>
      <c r="D82" s="379">
        <v>9.36</v>
      </c>
      <c r="E82" s="379">
        <v>0</v>
      </c>
      <c r="F82" s="379">
        <f>D82*C82+E82</f>
        <v>2340</v>
      </c>
      <c r="G82" s="378">
        <v>42577</v>
      </c>
      <c r="H82" s="382">
        <v>150</v>
      </c>
      <c r="I82" s="379">
        <v>10.58</v>
      </c>
      <c r="J82" s="379">
        <v>0.03</v>
      </c>
      <c r="K82" s="379">
        <f>H82*I82-J82</f>
        <v>1586.97</v>
      </c>
      <c r="L82" s="378"/>
      <c r="M82" s="378"/>
      <c r="N82" s="378"/>
    </row>
    <row r="83" spans="1:14" x14ac:dyDescent="0.25">
      <c r="A83" s="378"/>
      <c r="B83" s="377"/>
      <c r="C83" s="378"/>
      <c r="D83" s="379"/>
      <c r="E83" s="379"/>
      <c r="F83" s="379"/>
      <c r="G83" s="378">
        <v>42577</v>
      </c>
      <c r="H83" s="382">
        <v>100</v>
      </c>
      <c r="I83" s="379">
        <v>10.65</v>
      </c>
      <c r="J83" s="379">
        <v>0.02</v>
      </c>
      <c r="K83" s="379">
        <f>H83*I83-J83</f>
        <v>1064.98</v>
      </c>
      <c r="L83" s="378"/>
      <c r="M83" s="378"/>
      <c r="N83" s="378"/>
    </row>
    <row r="84" spans="1:14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  <c r="N84" s="378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0"/>
    </row>
    <row r="86" spans="1:14" x14ac:dyDescent="0.25">
      <c r="A86" s="260"/>
      <c r="B86" s="260"/>
      <c r="C86" s="260"/>
      <c r="D86" s="261"/>
      <c r="E86" s="261"/>
      <c r="F86" s="261"/>
      <c r="G86" s="260"/>
      <c r="H86" s="260"/>
      <c r="I86" s="261"/>
      <c r="J86" s="261"/>
      <c r="K86" s="261"/>
      <c r="L86" s="260"/>
      <c r="M86" s="260"/>
      <c r="N86" s="260"/>
    </row>
    <row r="87" spans="1:14" x14ac:dyDescent="0.25">
      <c r="A87" s="260"/>
      <c r="B87" s="260"/>
      <c r="C87" s="260"/>
      <c r="D87" s="261"/>
      <c r="E87" s="261"/>
      <c r="F87" s="261"/>
      <c r="G87" s="260"/>
      <c r="H87" s="260"/>
      <c r="I87" s="261"/>
      <c r="J87" s="261"/>
      <c r="K87" s="261"/>
      <c r="L87" s="260"/>
      <c r="M87" s="260"/>
      <c r="N87" s="260"/>
    </row>
    <row r="88" spans="1:14" x14ac:dyDescent="0.25">
      <c r="A88" s="260"/>
      <c r="B88" s="268" t="s">
        <v>114</v>
      </c>
      <c r="C88" s="268" t="s">
        <v>147</v>
      </c>
      <c r="D88" s="269" t="s">
        <v>146</v>
      </c>
      <c r="E88" s="270" t="s">
        <v>148</v>
      </c>
      <c r="F88" s="270" t="s">
        <v>65</v>
      </c>
      <c r="G88" s="272" t="s">
        <v>152</v>
      </c>
      <c r="H88" s="272" t="s">
        <v>88</v>
      </c>
      <c r="I88" s="272" t="s">
        <v>155</v>
      </c>
      <c r="J88" s="261"/>
      <c r="K88" s="261"/>
      <c r="L88" s="260"/>
      <c r="M88" s="260"/>
      <c r="N88" s="260"/>
    </row>
    <row r="89" spans="1:14" x14ac:dyDescent="0.25">
      <c r="A89" s="260"/>
      <c r="B89" s="265">
        <v>42304</v>
      </c>
      <c r="C89" s="260">
        <v>3700</v>
      </c>
      <c r="D89" s="261">
        <v>9.84</v>
      </c>
      <c r="E89" s="261">
        <v>8.73</v>
      </c>
      <c r="F89" s="261">
        <f>C89*(E89-D89)</f>
        <v>-4106.9999999999982</v>
      </c>
      <c r="G89" s="261">
        <f>D89*C89</f>
        <v>36408</v>
      </c>
      <c r="H89" s="275">
        <f>(E89-D89)/D89</f>
        <v>-0.11280487804878044</v>
      </c>
      <c r="I89" s="261"/>
      <c r="J89" s="261"/>
      <c r="K89" s="261"/>
      <c r="L89" s="260"/>
      <c r="M89" s="260"/>
      <c r="N89" s="260"/>
    </row>
    <row r="90" spans="1:14" x14ac:dyDescent="0.25">
      <c r="A90" s="260"/>
      <c r="B90" s="265">
        <v>42305</v>
      </c>
      <c r="C90" s="260">
        <v>3700</v>
      </c>
      <c r="D90" s="261">
        <v>9.76</v>
      </c>
      <c r="E90" s="261">
        <v>8.99</v>
      </c>
      <c r="F90" s="261">
        <f t="shared" ref="F90:F107" si="5">C90*(E90-D90)</f>
        <v>-2848.9999999999986</v>
      </c>
      <c r="G90" s="261">
        <f t="shared" ref="G90:G107" si="6">D90*C90</f>
        <v>36112</v>
      </c>
      <c r="H90" s="275">
        <f t="shared" ref="H90:H96" si="7">(E90-D90)/D90</f>
        <v>-7.8893442622950782E-2</v>
      </c>
      <c r="I90" s="261"/>
      <c r="J90" s="261"/>
      <c r="K90" s="261"/>
      <c r="L90" s="260"/>
      <c r="M90" s="260"/>
      <c r="N90" s="260"/>
    </row>
    <row r="91" spans="1:14" x14ac:dyDescent="0.25">
      <c r="A91" s="260"/>
      <c r="B91" s="265">
        <v>42311</v>
      </c>
      <c r="C91" s="260">
        <v>3700</v>
      </c>
      <c r="D91" s="261">
        <v>9.73</v>
      </c>
      <c r="E91" s="261">
        <v>9.3800000000000008</v>
      </c>
      <c r="F91" s="261">
        <f t="shared" si="5"/>
        <v>-1294.9999999999986</v>
      </c>
      <c r="G91" s="261">
        <f t="shared" si="6"/>
        <v>36001</v>
      </c>
      <c r="H91" s="275">
        <f t="shared" si="7"/>
        <v>-3.5971223021582698E-2</v>
      </c>
      <c r="I91" s="261"/>
      <c r="J91" s="261"/>
      <c r="K91" s="261"/>
      <c r="L91" s="260"/>
      <c r="M91" s="260"/>
      <c r="N91" s="260"/>
    </row>
    <row r="92" spans="1:14" x14ac:dyDescent="0.25">
      <c r="A92" s="260"/>
      <c r="B92" s="265">
        <v>42320</v>
      </c>
      <c r="C92" s="260">
        <v>7400</v>
      </c>
      <c r="D92" s="261">
        <v>9.01</v>
      </c>
      <c r="E92" s="261">
        <v>7.82</v>
      </c>
      <c r="F92" s="261">
        <f t="shared" si="5"/>
        <v>-8805.9999999999964</v>
      </c>
      <c r="G92" s="261">
        <f t="shared" si="6"/>
        <v>66674</v>
      </c>
      <c r="H92" s="275">
        <f t="shared" si="7"/>
        <v>-0.13207547169811315</v>
      </c>
      <c r="I92" s="261"/>
      <c r="J92" s="261"/>
      <c r="K92" s="261"/>
      <c r="L92" s="260"/>
      <c r="M92" s="260"/>
      <c r="N92" s="260"/>
    </row>
    <row r="93" spans="1:14" x14ac:dyDescent="0.25">
      <c r="A93" s="260"/>
      <c r="B93" s="265">
        <v>42320</v>
      </c>
      <c r="C93" s="260">
        <v>8000</v>
      </c>
      <c r="D93" s="261">
        <v>8.94</v>
      </c>
      <c r="E93" s="261">
        <v>7.82</v>
      </c>
      <c r="F93" s="261">
        <f t="shared" si="5"/>
        <v>-8959.9999999999945</v>
      </c>
      <c r="G93" s="261">
        <f t="shared" si="6"/>
        <v>71520</v>
      </c>
      <c r="H93" s="275">
        <f t="shared" si="7"/>
        <v>-0.12527964205816547</v>
      </c>
      <c r="I93" s="261"/>
      <c r="J93" s="261"/>
      <c r="K93" s="261"/>
      <c r="L93" s="260"/>
      <c r="M93" s="260"/>
      <c r="N93" s="260"/>
    </row>
    <row r="94" spans="1:14" x14ac:dyDescent="0.25">
      <c r="A94" s="260"/>
      <c r="B94" s="265">
        <v>42326</v>
      </c>
      <c r="C94" s="260">
        <v>6600</v>
      </c>
      <c r="D94" s="261">
        <v>9.0582999999999991</v>
      </c>
      <c r="E94" s="261">
        <v>8.41</v>
      </c>
      <c r="F94" s="261">
        <f t="shared" si="5"/>
        <v>-4278.7799999999934</v>
      </c>
      <c r="G94" s="261">
        <f t="shared" si="6"/>
        <v>59784.779999999992</v>
      </c>
      <c r="H94" s="275">
        <f t="shared" si="7"/>
        <v>-7.1569720587748145E-2</v>
      </c>
      <c r="I94" s="261"/>
      <c r="J94" s="261"/>
      <c r="K94" s="261"/>
      <c r="L94" s="260"/>
      <c r="M94" s="260"/>
      <c r="N94" s="260"/>
    </row>
    <row r="95" spans="1:14" x14ac:dyDescent="0.25">
      <c r="A95" s="260"/>
      <c r="B95" s="265">
        <v>42326</v>
      </c>
      <c r="C95" s="260">
        <v>6535</v>
      </c>
      <c r="D95" s="261">
        <v>9.0648</v>
      </c>
      <c r="E95" s="261">
        <v>8.41</v>
      </c>
      <c r="F95" s="261">
        <f t="shared" si="5"/>
        <v>-4279.1179999999986</v>
      </c>
      <c r="G95" s="261">
        <f t="shared" si="6"/>
        <v>59238.468000000001</v>
      </c>
      <c r="H95" s="275">
        <f t="shared" si="7"/>
        <v>-7.2235460241814473E-2</v>
      </c>
      <c r="I95" s="261"/>
      <c r="J95" s="261"/>
      <c r="K95" s="261"/>
      <c r="L95" s="260"/>
      <c r="M95" s="260"/>
      <c r="N95" s="260"/>
    </row>
    <row r="96" spans="1:14" x14ac:dyDescent="0.25">
      <c r="A96" s="260"/>
      <c r="B96" s="265">
        <v>42327</v>
      </c>
      <c r="C96" s="260">
        <v>4300</v>
      </c>
      <c r="D96" s="261">
        <v>9.3583999999999996</v>
      </c>
      <c r="E96" s="261">
        <v>8.76</v>
      </c>
      <c r="F96" s="261">
        <f t="shared" si="5"/>
        <v>-2573.1199999999994</v>
      </c>
      <c r="G96" s="261">
        <f t="shared" si="6"/>
        <v>40241.119999999995</v>
      </c>
      <c r="H96" s="275">
        <f t="shared" si="7"/>
        <v>-6.3942554282783365E-2</v>
      </c>
      <c r="I96" s="261"/>
      <c r="J96" s="261"/>
      <c r="K96" s="261"/>
      <c r="L96" s="260"/>
      <c r="M96" s="260"/>
      <c r="N96" s="260"/>
    </row>
    <row r="97" spans="1:14" x14ac:dyDescent="0.25">
      <c r="A97" s="260"/>
      <c r="B97" s="265">
        <v>42327</v>
      </c>
      <c r="C97" s="260">
        <v>3700</v>
      </c>
      <c r="D97" s="261">
        <v>9.4571000000000005</v>
      </c>
      <c r="E97" s="261">
        <v>8.76</v>
      </c>
      <c r="F97" s="261">
        <f t="shared" si="5"/>
        <v>-2579.2700000000027</v>
      </c>
      <c r="G97" s="261">
        <f t="shared" si="6"/>
        <v>34991.270000000004</v>
      </c>
      <c r="H97" s="275">
        <f>(E97-D97)/D97</f>
        <v>-7.371181440399284E-2</v>
      </c>
      <c r="I97" s="261"/>
      <c r="J97" s="261"/>
      <c r="K97" s="261"/>
      <c r="L97" s="260"/>
      <c r="M97" s="260"/>
      <c r="N97" s="260"/>
    </row>
    <row r="98" spans="1:14" x14ac:dyDescent="0.25">
      <c r="A98" s="260"/>
      <c r="B98" s="265">
        <v>42331</v>
      </c>
      <c r="C98" s="260">
        <v>3700</v>
      </c>
      <c r="D98" s="261">
        <v>9.4499999999999993</v>
      </c>
      <c r="E98" s="261">
        <v>9.07</v>
      </c>
      <c r="F98" s="261">
        <f t="shared" si="5"/>
        <v>-1405.9999999999964</v>
      </c>
      <c r="G98" s="261">
        <f t="shared" si="6"/>
        <v>34965</v>
      </c>
      <c r="H98" s="275">
        <f t="shared" ref="H98:H107" si="8">(E98-D98)/D98</f>
        <v>-4.0211640211640108E-2</v>
      </c>
      <c r="I98" s="261"/>
      <c r="J98" s="261"/>
      <c r="K98" s="261"/>
      <c r="L98" s="260"/>
      <c r="M98" s="260"/>
      <c r="N98" s="260"/>
    </row>
    <row r="99" spans="1:14" x14ac:dyDescent="0.25">
      <c r="A99" s="260"/>
      <c r="B99" s="265">
        <v>42333</v>
      </c>
      <c r="C99" s="260">
        <v>3300</v>
      </c>
      <c r="D99" s="261">
        <v>9.4304000000000006</v>
      </c>
      <c r="E99" s="261">
        <v>9.41</v>
      </c>
      <c r="F99" s="261">
        <f t="shared" si="5"/>
        <v>-67.320000000001386</v>
      </c>
      <c r="G99" s="261">
        <f t="shared" si="6"/>
        <v>31120.320000000003</v>
      </c>
      <c r="H99" s="275">
        <f t="shared" si="8"/>
        <v>-2.1632168306753071E-3</v>
      </c>
      <c r="I99" s="261"/>
      <c r="J99" s="261"/>
      <c r="K99" s="261"/>
      <c r="L99" s="260"/>
      <c r="M99" s="260"/>
      <c r="N99" s="260"/>
    </row>
    <row r="100" spans="1:14" x14ac:dyDescent="0.25">
      <c r="A100" s="260"/>
      <c r="B100" s="265">
        <v>42339</v>
      </c>
      <c r="C100" s="260">
        <v>2800</v>
      </c>
      <c r="D100" s="261">
        <v>9.4145000000000003</v>
      </c>
      <c r="E100" s="261">
        <v>9.48</v>
      </c>
      <c r="F100" s="261">
        <f t="shared" si="5"/>
        <v>183.40000000000032</v>
      </c>
      <c r="G100" s="261">
        <f t="shared" si="6"/>
        <v>26360.600000000002</v>
      </c>
      <c r="H100" s="275">
        <f t="shared" si="8"/>
        <v>6.9573530192787838E-3</v>
      </c>
      <c r="I100" s="261"/>
      <c r="J100" s="261"/>
      <c r="K100" s="261"/>
      <c r="L100" s="260"/>
      <c r="M100" s="260"/>
      <c r="N100" s="260"/>
    </row>
    <row r="101" spans="1:14" x14ac:dyDescent="0.25">
      <c r="A101" s="260"/>
      <c r="B101" s="265">
        <v>42340</v>
      </c>
      <c r="C101" s="260">
        <v>3000</v>
      </c>
      <c r="D101" s="261">
        <v>9.41</v>
      </c>
      <c r="E101" s="261">
        <v>9.35</v>
      </c>
      <c r="F101" s="261">
        <f t="shared" si="5"/>
        <v>-180.00000000000148</v>
      </c>
      <c r="G101" s="261">
        <f t="shared" si="6"/>
        <v>28230</v>
      </c>
      <c r="H101" s="275">
        <f t="shared" si="8"/>
        <v>-6.3761955366631769E-3</v>
      </c>
      <c r="I101" s="261"/>
      <c r="J101" s="261"/>
      <c r="K101" s="261"/>
      <c r="L101" s="260"/>
      <c r="M101" s="260"/>
      <c r="N101" s="260"/>
    </row>
    <row r="102" spans="1:14" x14ac:dyDescent="0.25">
      <c r="A102" s="260"/>
      <c r="B102" s="265">
        <v>42342</v>
      </c>
      <c r="C102" s="260">
        <v>1500</v>
      </c>
      <c r="D102" s="261">
        <v>9.51</v>
      </c>
      <c r="E102" s="261">
        <v>9.34</v>
      </c>
      <c r="F102" s="261">
        <f t="shared" si="5"/>
        <v>-254.99999999999989</v>
      </c>
      <c r="G102" s="261">
        <f t="shared" si="6"/>
        <v>14265</v>
      </c>
      <c r="H102" s="275">
        <f t="shared" si="8"/>
        <v>-1.787592008412197E-2</v>
      </c>
      <c r="I102" s="261"/>
      <c r="J102" s="261"/>
      <c r="K102" s="261"/>
      <c r="L102" s="260"/>
      <c r="M102" s="260"/>
      <c r="N102" s="260"/>
    </row>
    <row r="103" spans="1:14" x14ac:dyDescent="0.25">
      <c r="A103" s="260"/>
      <c r="B103" s="265">
        <v>42342</v>
      </c>
      <c r="C103" s="260">
        <v>3000</v>
      </c>
      <c r="D103" s="261">
        <v>9.3933</v>
      </c>
      <c r="E103" s="261">
        <v>9.34</v>
      </c>
      <c r="F103" s="261">
        <f t="shared" si="5"/>
        <v>-159.90000000000038</v>
      </c>
      <c r="G103" s="261">
        <f t="shared" si="6"/>
        <v>28179.9</v>
      </c>
      <c r="H103" s="275">
        <f t="shared" si="8"/>
        <v>-5.6742571833115225E-3</v>
      </c>
      <c r="I103" s="261"/>
      <c r="J103" s="261"/>
      <c r="K103" s="261"/>
      <c r="L103" s="260"/>
      <c r="M103" s="260"/>
      <c r="N103" s="260"/>
    </row>
    <row r="104" spans="1:14" x14ac:dyDescent="0.25">
      <c r="A104" s="260"/>
      <c r="B104" s="265">
        <v>42345</v>
      </c>
      <c r="C104" s="260">
        <v>3100</v>
      </c>
      <c r="D104" s="261">
        <v>9.3789999999999996</v>
      </c>
      <c r="E104" s="261">
        <v>9.0399999999999991</v>
      </c>
      <c r="F104" s="261">
        <f t="shared" si="5"/>
        <v>-1050.9000000000012</v>
      </c>
      <c r="G104" s="261">
        <f t="shared" si="6"/>
        <v>29074.899999999998</v>
      </c>
      <c r="H104" s="275">
        <f t="shared" si="8"/>
        <v>-3.6144578313253059E-2</v>
      </c>
      <c r="I104" s="261"/>
      <c r="J104" s="261"/>
      <c r="K104" s="261"/>
      <c r="L104" s="260"/>
      <c r="M104" s="260"/>
      <c r="N104" s="260"/>
    </row>
    <row r="105" spans="1:14" x14ac:dyDescent="0.25">
      <c r="A105" s="260"/>
      <c r="B105" s="265">
        <v>42348</v>
      </c>
      <c r="C105" s="260">
        <v>3000</v>
      </c>
      <c r="D105" s="261">
        <v>9.3800000000000008</v>
      </c>
      <c r="E105" s="261">
        <v>9.17</v>
      </c>
      <c r="F105" s="261">
        <f t="shared" si="5"/>
        <v>-630.0000000000025</v>
      </c>
      <c r="G105" s="261">
        <f t="shared" si="6"/>
        <v>28140.000000000004</v>
      </c>
      <c r="H105" s="275">
        <f t="shared" si="8"/>
        <v>-2.2388059701492626E-2</v>
      </c>
      <c r="I105" s="261"/>
      <c r="J105" s="261"/>
      <c r="K105" s="261"/>
      <c r="L105" s="260"/>
      <c r="M105" s="260"/>
      <c r="N105" s="260"/>
    </row>
    <row r="106" spans="1:14" x14ac:dyDescent="0.25">
      <c r="A106" s="260"/>
      <c r="B106" s="265">
        <v>42349</v>
      </c>
      <c r="C106" s="260">
        <v>3000</v>
      </c>
      <c r="D106" s="261">
        <v>9.3659999999999997</v>
      </c>
      <c r="E106" s="261">
        <v>8.86</v>
      </c>
      <c r="F106" s="261">
        <f t="shared" si="5"/>
        <v>-1518.0000000000007</v>
      </c>
      <c r="G106" s="261">
        <f t="shared" si="6"/>
        <v>28098</v>
      </c>
      <c r="H106" s="275">
        <f t="shared" si="8"/>
        <v>-5.4025197522955398E-2</v>
      </c>
      <c r="I106" s="261"/>
      <c r="J106" s="261"/>
      <c r="K106" s="261"/>
      <c r="L106" s="260"/>
      <c r="M106" s="260"/>
      <c r="N106" s="260"/>
    </row>
    <row r="107" spans="1:14" x14ac:dyDescent="0.25">
      <c r="A107" s="260"/>
      <c r="B107" s="265">
        <v>42360</v>
      </c>
      <c r="C107" s="260">
        <v>1000</v>
      </c>
      <c r="D107" s="261">
        <v>9.1999999999999993</v>
      </c>
      <c r="E107" s="261">
        <v>9.56</v>
      </c>
      <c r="F107" s="261">
        <f t="shared" si="5"/>
        <v>360.00000000000119</v>
      </c>
      <c r="G107" s="261">
        <f t="shared" si="6"/>
        <v>9200</v>
      </c>
      <c r="H107" s="275">
        <f t="shared" si="8"/>
        <v>3.9130434782608831E-2</v>
      </c>
      <c r="I107" s="261"/>
      <c r="J107" s="261"/>
      <c r="K107" s="261"/>
      <c r="L107" s="260"/>
      <c r="M107" s="260"/>
      <c r="N107" s="260"/>
    </row>
    <row r="108" spans="1:14" x14ac:dyDescent="0.25">
      <c r="A108" s="260"/>
      <c r="B108" s="265">
        <v>42361</v>
      </c>
      <c r="C108" s="260">
        <v>0</v>
      </c>
      <c r="D108" s="261">
        <v>0</v>
      </c>
      <c r="E108" s="261">
        <v>10.19</v>
      </c>
      <c r="F108" s="261">
        <v>360</v>
      </c>
      <c r="G108" s="261"/>
      <c r="H108" s="275"/>
      <c r="I108" s="261"/>
      <c r="J108" s="261"/>
      <c r="K108" s="261"/>
      <c r="L108" s="260"/>
      <c r="M108" s="260"/>
      <c r="N108" s="260"/>
    </row>
    <row r="109" spans="1:14" x14ac:dyDescent="0.25">
      <c r="A109" s="260"/>
      <c r="B109" s="265">
        <v>42377</v>
      </c>
      <c r="C109" s="260">
        <v>400</v>
      </c>
      <c r="D109" s="261">
        <v>6.31</v>
      </c>
      <c r="E109" s="261">
        <v>8.07</v>
      </c>
      <c r="F109" s="261">
        <f t="shared" ref="F109:F114" si="9">C109*(E109-D109)</f>
        <v>704.00000000000023</v>
      </c>
      <c r="G109" s="261">
        <f t="shared" ref="G109:G114" si="10">D109*C109</f>
        <v>2524</v>
      </c>
      <c r="H109" s="275">
        <f t="shared" ref="H109:H114" si="11">(E109-D109)/D109</f>
        <v>0.27892234548335987</v>
      </c>
      <c r="I109" s="261"/>
      <c r="J109" s="261"/>
      <c r="K109" s="261"/>
      <c r="L109" s="260"/>
      <c r="M109" s="260"/>
      <c r="N109" s="260"/>
    </row>
    <row r="110" spans="1:14" x14ac:dyDescent="0.25">
      <c r="A110" s="260"/>
      <c r="B110" s="265">
        <v>42389</v>
      </c>
      <c r="C110" s="260">
        <v>500</v>
      </c>
      <c r="D110" s="261">
        <v>6.34</v>
      </c>
      <c r="E110" s="261">
        <v>6.74</v>
      </c>
      <c r="F110" s="261">
        <f t="shared" si="9"/>
        <v>200.00000000000017</v>
      </c>
      <c r="G110" s="261">
        <f t="shared" si="10"/>
        <v>3170</v>
      </c>
      <c r="H110" s="275">
        <f t="shared" si="11"/>
        <v>6.3091482649842323E-2</v>
      </c>
      <c r="I110" s="261"/>
      <c r="J110" s="261"/>
      <c r="K110" s="261"/>
      <c r="L110" s="260"/>
      <c r="M110" s="260"/>
      <c r="N110" s="260"/>
    </row>
    <row r="111" spans="1:14" x14ac:dyDescent="0.25">
      <c r="A111" s="260"/>
      <c r="B111" s="265">
        <v>42398</v>
      </c>
      <c r="C111" s="260">
        <v>400</v>
      </c>
      <c r="D111" s="261">
        <v>6.12</v>
      </c>
      <c r="E111" s="261">
        <v>7.14</v>
      </c>
      <c r="F111" s="261">
        <f t="shared" si="9"/>
        <v>407.99999999999983</v>
      </c>
      <c r="G111" s="261">
        <f t="shared" si="10"/>
        <v>2448</v>
      </c>
      <c r="H111" s="275">
        <f t="shared" si="11"/>
        <v>0.1666666666666666</v>
      </c>
      <c r="I111" s="261"/>
      <c r="J111" s="261"/>
      <c r="K111" s="261"/>
      <c r="L111" s="260"/>
      <c r="M111" s="260"/>
      <c r="N111" s="260"/>
    </row>
    <row r="112" spans="1:14" x14ac:dyDescent="0.25">
      <c r="A112" s="260"/>
      <c r="B112" s="265">
        <v>42402</v>
      </c>
      <c r="C112" s="260">
        <v>500</v>
      </c>
      <c r="D112" s="261">
        <v>6.2888999999999999</v>
      </c>
      <c r="E112" s="261">
        <v>6.97</v>
      </c>
      <c r="F112" s="261">
        <f t="shared" si="9"/>
        <v>340.5499999999999</v>
      </c>
      <c r="G112" s="261">
        <f t="shared" si="10"/>
        <v>3144.45</v>
      </c>
      <c r="H112" s="275">
        <f t="shared" si="11"/>
        <v>0.10830192879517878</v>
      </c>
      <c r="I112" s="261"/>
      <c r="J112" s="261"/>
      <c r="K112" s="261"/>
      <c r="L112" s="260"/>
      <c r="M112" s="260"/>
      <c r="N112" s="260"/>
    </row>
    <row r="113" spans="1:14" x14ac:dyDescent="0.25">
      <c r="A113" s="260"/>
      <c r="B113" s="265">
        <v>42403</v>
      </c>
      <c r="C113" s="260">
        <v>400</v>
      </c>
      <c r="D113" s="261">
        <v>6.01</v>
      </c>
      <c r="E113" s="261">
        <v>7.55</v>
      </c>
      <c r="F113" s="261">
        <f t="shared" si="9"/>
        <v>616</v>
      </c>
      <c r="G113" s="261">
        <f t="shared" si="10"/>
        <v>2404</v>
      </c>
      <c r="H113" s="275">
        <f t="shared" si="11"/>
        <v>0.2562396006655574</v>
      </c>
      <c r="I113" s="261"/>
      <c r="J113" s="261"/>
      <c r="K113" s="261"/>
      <c r="L113" s="260"/>
      <c r="M113" s="260"/>
      <c r="N113" s="378"/>
    </row>
    <row r="114" spans="1:14" x14ac:dyDescent="0.25">
      <c r="A114" s="260"/>
      <c r="B114" s="265">
        <v>42404</v>
      </c>
      <c r="C114" s="260">
        <v>300</v>
      </c>
      <c r="D114" s="261">
        <v>5.3349000000000002</v>
      </c>
      <c r="E114" s="261">
        <v>8.31</v>
      </c>
      <c r="F114" s="261">
        <f t="shared" si="9"/>
        <v>892.53000000000009</v>
      </c>
      <c r="G114" s="261">
        <f t="shared" si="10"/>
        <v>1600.47</v>
      </c>
      <c r="H114" s="275">
        <f t="shared" si="11"/>
        <v>0.55766743519091266</v>
      </c>
      <c r="I114" s="261"/>
      <c r="J114" s="261"/>
      <c r="K114" s="261"/>
      <c r="L114" s="260"/>
      <c r="M114" s="260"/>
      <c r="N114" s="378"/>
    </row>
    <row r="115" spans="1:14" x14ac:dyDescent="0.25">
      <c r="A115" s="260"/>
      <c r="B115" s="265">
        <v>42416</v>
      </c>
      <c r="C115" s="260">
        <v>0</v>
      </c>
      <c r="D115" s="261">
        <v>0</v>
      </c>
      <c r="E115" s="261">
        <v>0</v>
      </c>
      <c r="F115" s="261">
        <v>793.47</v>
      </c>
      <c r="G115" s="261"/>
      <c r="H115" s="275"/>
      <c r="I115" s="261"/>
      <c r="J115" s="261"/>
      <c r="K115" s="261"/>
      <c r="L115" s="260"/>
      <c r="M115" s="260"/>
      <c r="N115" s="378"/>
    </row>
    <row r="116" spans="1:14" x14ac:dyDescent="0.25">
      <c r="A116" s="378"/>
      <c r="B116" s="377"/>
      <c r="C116" s="378"/>
      <c r="D116" s="379"/>
      <c r="E116" s="379"/>
      <c r="F116" s="379"/>
      <c r="G116" s="379"/>
      <c r="H116" s="380"/>
      <c r="I116" s="379"/>
      <c r="J116" s="379"/>
      <c r="K116" s="379"/>
      <c r="L116" s="378"/>
      <c r="M116" s="378"/>
      <c r="N116" s="378"/>
    </row>
    <row r="117" spans="1:14" x14ac:dyDescent="0.25">
      <c r="A117" s="378"/>
      <c r="B117" s="377">
        <v>42545</v>
      </c>
      <c r="C117" s="378">
        <v>250</v>
      </c>
      <c r="D117" s="379">
        <v>9.36</v>
      </c>
      <c r="E117" s="379">
        <v>9.3800000000000008</v>
      </c>
      <c r="F117" s="379">
        <f t="shared" ref="F117:F127" si="12">C117*(E117-D117)</f>
        <v>5.0000000000003375</v>
      </c>
      <c r="G117" s="379">
        <f t="shared" ref="G117:G127" si="13">D117*C117</f>
        <v>2340</v>
      </c>
      <c r="H117" s="380">
        <f t="shared" ref="H117:H127" si="14">(E117-D117)/D117</f>
        <v>2.1367521367522809E-3</v>
      </c>
      <c r="I117" s="379"/>
      <c r="J117" s="379"/>
      <c r="K117" s="379"/>
      <c r="L117" s="378"/>
      <c r="M117" s="378"/>
      <c r="N117" s="378"/>
    </row>
    <row r="118" spans="1:14" x14ac:dyDescent="0.25">
      <c r="A118" s="378"/>
      <c r="B118" s="377">
        <v>42548</v>
      </c>
      <c r="C118" s="378">
        <v>250</v>
      </c>
      <c r="D118" s="379">
        <v>9.36</v>
      </c>
      <c r="E118" s="379">
        <v>9.1</v>
      </c>
      <c r="F118" s="379">
        <f t="shared" si="12"/>
        <v>-64.999999999999943</v>
      </c>
      <c r="G118" s="379">
        <f t="shared" si="13"/>
        <v>2340</v>
      </c>
      <c r="H118" s="380">
        <f t="shared" si="14"/>
        <v>-2.7777777777777755E-2</v>
      </c>
      <c r="I118" s="379"/>
      <c r="J118" s="379"/>
      <c r="K118" s="379"/>
      <c r="L118" s="378"/>
      <c r="M118" s="378"/>
      <c r="N118" s="378"/>
    </row>
    <row r="119" spans="1:14" x14ac:dyDescent="0.25">
      <c r="A119" s="378"/>
      <c r="B119" s="377">
        <v>42549</v>
      </c>
      <c r="C119" s="378">
        <v>250</v>
      </c>
      <c r="D119" s="379">
        <v>9.36</v>
      </c>
      <c r="E119" s="379">
        <v>9.33</v>
      </c>
      <c r="F119" s="379">
        <f t="shared" si="12"/>
        <v>-7.4999999999998401</v>
      </c>
      <c r="G119" s="379">
        <f t="shared" si="13"/>
        <v>2340</v>
      </c>
      <c r="H119" s="380">
        <f t="shared" si="14"/>
        <v>-3.2051282051281369E-3</v>
      </c>
      <c r="I119" s="379"/>
      <c r="J119" s="379"/>
      <c r="K119" s="379"/>
      <c r="L119" s="378"/>
      <c r="M119" s="378"/>
      <c r="N119" s="378"/>
    </row>
    <row r="120" spans="1:14" x14ac:dyDescent="0.25">
      <c r="A120" s="378"/>
      <c r="B120" s="377">
        <v>42550</v>
      </c>
      <c r="C120" s="378">
        <v>250</v>
      </c>
      <c r="D120" s="379">
        <v>9.36</v>
      </c>
      <c r="E120" s="379">
        <v>9.1</v>
      </c>
      <c r="F120" s="379">
        <f t="shared" si="12"/>
        <v>-64.999999999999943</v>
      </c>
      <c r="G120" s="379">
        <f t="shared" si="13"/>
        <v>2340</v>
      </c>
      <c r="H120" s="380">
        <f t="shared" si="14"/>
        <v>-2.7777777777777755E-2</v>
      </c>
      <c r="I120" s="379"/>
      <c r="J120" s="379"/>
      <c r="K120" s="379"/>
      <c r="L120" s="378"/>
      <c r="M120" s="378"/>
      <c r="N120" s="378"/>
    </row>
    <row r="121" spans="1:14" x14ac:dyDescent="0.25">
      <c r="A121" s="378"/>
      <c r="B121" s="377">
        <v>42552</v>
      </c>
      <c r="C121" s="378">
        <v>250</v>
      </c>
      <c r="D121" s="379">
        <v>9.36</v>
      </c>
      <c r="E121" s="379">
        <v>9.5500000000000007</v>
      </c>
      <c r="F121" s="379">
        <f t="shared" si="12"/>
        <v>47.50000000000032</v>
      </c>
      <c r="G121" s="379">
        <f t="shared" si="13"/>
        <v>2340</v>
      </c>
      <c r="H121" s="380">
        <f t="shared" si="14"/>
        <v>2.0299145299145439E-2</v>
      </c>
      <c r="I121" s="379"/>
      <c r="J121" s="379"/>
      <c r="K121" s="379"/>
      <c r="L121" s="378"/>
      <c r="M121" s="378"/>
      <c r="N121" s="378"/>
    </row>
    <row r="122" spans="1:14" x14ac:dyDescent="0.25">
      <c r="A122" s="378"/>
      <c r="B122" s="377">
        <v>42556</v>
      </c>
      <c r="C122" s="378">
        <v>250</v>
      </c>
      <c r="D122" s="379">
        <v>9.36</v>
      </c>
      <c r="E122" s="379">
        <v>9.26</v>
      </c>
      <c r="F122" s="379">
        <f t="shared" si="12"/>
        <v>-24.999999999999911</v>
      </c>
      <c r="G122" s="379">
        <f t="shared" si="13"/>
        <v>2340</v>
      </c>
      <c r="H122" s="380">
        <f t="shared" si="14"/>
        <v>-1.0683760683760646E-2</v>
      </c>
      <c r="I122" s="379"/>
      <c r="J122" s="379"/>
      <c r="K122" s="379"/>
      <c r="L122" s="378"/>
      <c r="M122" s="378"/>
      <c r="N122" s="378"/>
    </row>
    <row r="123" spans="1:14" x14ac:dyDescent="0.25">
      <c r="A123" s="378"/>
      <c r="B123" s="377">
        <v>42557</v>
      </c>
      <c r="C123" s="378">
        <v>250</v>
      </c>
      <c r="D123" s="379">
        <v>9.36</v>
      </c>
      <c r="E123" s="379">
        <v>9.19</v>
      </c>
      <c r="F123" s="379">
        <f t="shared" si="12"/>
        <v>-42.499999999999986</v>
      </c>
      <c r="G123" s="379">
        <f t="shared" si="13"/>
        <v>2340</v>
      </c>
      <c r="H123" s="380">
        <f t="shared" si="14"/>
        <v>-1.8162393162393157E-2</v>
      </c>
      <c r="I123" s="379"/>
      <c r="J123" s="379"/>
      <c r="K123" s="379"/>
      <c r="L123" s="378"/>
      <c r="M123" s="378"/>
      <c r="N123" s="378"/>
    </row>
    <row r="124" spans="1:14" x14ac:dyDescent="0.25">
      <c r="A124" s="378"/>
      <c r="B124" s="377">
        <v>42559</v>
      </c>
      <c r="C124" s="378">
        <v>250</v>
      </c>
      <c r="D124" s="379">
        <v>9.36</v>
      </c>
      <c r="E124" s="379">
        <v>9.82</v>
      </c>
      <c r="F124" s="379">
        <f t="shared" si="12"/>
        <v>115.00000000000021</v>
      </c>
      <c r="G124" s="379">
        <f t="shared" si="13"/>
        <v>2340</v>
      </c>
      <c r="H124" s="380">
        <f t="shared" si="14"/>
        <v>4.9145299145299241E-2</v>
      </c>
      <c r="I124" s="379"/>
      <c r="J124" s="379"/>
      <c r="K124" s="379"/>
      <c r="L124" s="378"/>
      <c r="M124" s="378"/>
      <c r="N124" s="378"/>
    </row>
    <row r="125" spans="1:14" x14ac:dyDescent="0.25">
      <c r="A125" s="378"/>
      <c r="B125" s="377">
        <v>42562</v>
      </c>
      <c r="C125" s="378">
        <v>250</v>
      </c>
      <c r="D125" s="379">
        <v>9.36</v>
      </c>
      <c r="E125" s="379">
        <v>10.14</v>
      </c>
      <c r="F125" s="379">
        <f t="shared" si="12"/>
        <v>195.00000000000028</v>
      </c>
      <c r="G125" s="379">
        <f t="shared" si="13"/>
        <v>2340</v>
      </c>
      <c r="H125" s="380">
        <f t="shared" si="14"/>
        <v>8.3333333333333454E-2</v>
      </c>
      <c r="I125" s="379" t="s">
        <v>238</v>
      </c>
      <c r="J125" s="379"/>
      <c r="K125" s="379"/>
      <c r="L125" s="378"/>
      <c r="M125" s="378"/>
      <c r="N125" s="378"/>
    </row>
    <row r="126" spans="1:14" x14ac:dyDescent="0.25">
      <c r="A126" s="378"/>
      <c r="B126" s="377">
        <v>42566</v>
      </c>
      <c r="C126" s="378">
        <v>250</v>
      </c>
      <c r="D126" s="379">
        <v>9.36</v>
      </c>
      <c r="E126" s="379">
        <v>10.92</v>
      </c>
      <c r="F126" s="379">
        <f t="shared" si="12"/>
        <v>390.00000000000011</v>
      </c>
      <c r="G126" s="379">
        <f t="shared" si="13"/>
        <v>2340</v>
      </c>
      <c r="H126" s="380">
        <f t="shared" si="14"/>
        <v>0.16666666666666674</v>
      </c>
      <c r="I126" s="466">
        <v>8.8000000000000007</v>
      </c>
      <c r="J126" s="379"/>
      <c r="K126" s="379"/>
      <c r="L126" s="378"/>
      <c r="M126" s="378"/>
      <c r="N126" s="378"/>
    </row>
    <row r="127" spans="1:14" x14ac:dyDescent="0.25">
      <c r="A127" s="378"/>
      <c r="B127" s="377">
        <v>42570</v>
      </c>
      <c r="C127" s="378">
        <v>250</v>
      </c>
      <c r="D127" s="379">
        <v>9.36</v>
      </c>
      <c r="E127" s="379">
        <v>10.63</v>
      </c>
      <c r="F127" s="379">
        <f t="shared" si="12"/>
        <v>317.50000000000034</v>
      </c>
      <c r="G127" s="379">
        <f t="shared" si="13"/>
        <v>2340</v>
      </c>
      <c r="H127" s="380">
        <f t="shared" si="14"/>
        <v>0.13568376068376084</v>
      </c>
      <c r="I127" s="379"/>
      <c r="J127" s="379"/>
      <c r="K127" s="379"/>
      <c r="L127" s="378"/>
      <c r="M127" s="378"/>
      <c r="N127" s="378"/>
    </row>
    <row r="128" spans="1:14" x14ac:dyDescent="0.25">
      <c r="A128" s="378"/>
      <c r="B128" s="377">
        <v>42577</v>
      </c>
      <c r="C128" s="378">
        <v>0</v>
      </c>
      <c r="D128" s="379"/>
      <c r="E128" s="379"/>
      <c r="F128" s="379">
        <v>311.95</v>
      </c>
      <c r="G128" s="379"/>
      <c r="H128" s="380"/>
      <c r="I128" s="379"/>
      <c r="J128" s="379"/>
      <c r="K128" s="379"/>
      <c r="L128" s="378"/>
      <c r="M128" s="378"/>
    </row>
    <row r="129" spans="1:13" x14ac:dyDescent="0.25">
      <c r="A129" s="378"/>
      <c r="B129" s="377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  <c r="M129" s="378"/>
    </row>
    <row r="130" spans="1:13" x14ac:dyDescent="0.25">
      <c r="A130" s="378"/>
      <c r="B130" s="377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  <c r="M130" s="378"/>
    </row>
  </sheetData>
  <mergeCells count="1">
    <mergeCell ref="P39:Q39"/>
  </mergeCells>
  <conditionalFormatting sqref="F22:F39 H22:H39">
    <cfRule type="expression" dxfId="415" priority="66">
      <formula>F22&gt;0</formula>
    </cfRule>
    <cfRule type="expression" dxfId="41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13" priority="53">
      <formula>F41&gt;0</formula>
    </cfRule>
    <cfRule type="expression" dxfId="412" priority="54">
      <formula>F41&lt;0</formula>
    </cfRule>
  </conditionalFormatting>
  <conditionalFormatting sqref="F41">
    <cfRule type="expression" dxfId="411" priority="57">
      <formula>F41&gt;0</formula>
    </cfRule>
    <cfRule type="expression" dxfId="410" priority="58">
      <formula>F41&lt;0</formula>
    </cfRule>
  </conditionalFormatting>
  <conditionalFormatting sqref="H41">
    <cfRule type="expression" dxfId="409" priority="35">
      <formula>H41&gt;0</formula>
    </cfRule>
    <cfRule type="expression" dxfId="408" priority="36">
      <formula>H41&lt;0</formula>
    </cfRule>
  </conditionalFormatting>
  <conditionalFormatting sqref="F89:F95">
    <cfRule type="expression" dxfId="407" priority="29">
      <formula>F89&gt;0</formula>
    </cfRule>
    <cfRule type="expression" dxfId="406" priority="30">
      <formula>F89&lt;0</formula>
    </cfRule>
  </conditionalFormatting>
  <conditionalFormatting sqref="F96:F110">
    <cfRule type="expression" dxfId="405" priority="25">
      <formula>F96&gt;0</formula>
    </cfRule>
    <cfRule type="expression" dxfId="404" priority="26">
      <formula>F96&lt;0</formula>
    </cfRule>
  </conditionalFormatting>
  <conditionalFormatting sqref="F96:F110">
    <cfRule type="expression" dxfId="403" priority="27">
      <formula>F96&gt;0</formula>
    </cfRule>
    <cfRule type="expression" dxfId="402" priority="28">
      <formula>F96&lt;0</formula>
    </cfRule>
  </conditionalFormatting>
  <conditionalFormatting sqref="H89:H100">
    <cfRule type="expression" dxfId="401" priority="23">
      <formula>H89&gt;0</formula>
    </cfRule>
    <cfRule type="expression" dxfId="400" priority="24">
      <formula>H89&lt;0</formula>
    </cfRule>
  </conditionalFormatting>
  <conditionalFormatting sqref="H101">
    <cfRule type="expression" dxfId="399" priority="21">
      <formula>H101&gt;0</formula>
    </cfRule>
    <cfRule type="expression" dxfId="398" priority="22">
      <formula>H101&lt;0</formula>
    </cfRule>
  </conditionalFormatting>
  <conditionalFormatting sqref="F111:F116">
    <cfRule type="expression" dxfId="397" priority="19">
      <formula>F111&gt;0</formula>
    </cfRule>
    <cfRule type="expression" dxfId="396" priority="20">
      <formula>F111&lt;0</formula>
    </cfRule>
  </conditionalFormatting>
  <conditionalFormatting sqref="H103:H116">
    <cfRule type="expression" dxfId="395" priority="17">
      <formula>H103&gt;0</formula>
    </cfRule>
    <cfRule type="expression" dxfId="394" priority="18">
      <formula>H103&lt;0</formula>
    </cfRule>
  </conditionalFormatting>
  <conditionalFormatting sqref="H102">
    <cfRule type="expression" dxfId="393" priority="15">
      <formula>H102&gt;0</formula>
    </cfRule>
    <cfRule type="expression" dxfId="392" priority="16">
      <formula>H102&lt;0</formula>
    </cfRule>
  </conditionalFormatting>
  <conditionalFormatting sqref="M42">
    <cfRule type="expression" dxfId="391" priority="13">
      <formula>M42&gt;0</formula>
    </cfRule>
    <cfRule type="expression" dxfId="390" priority="14">
      <formula>M42&lt;0</formula>
    </cfRule>
  </conditionalFormatting>
  <conditionalFormatting sqref="Q7">
    <cfRule type="expression" dxfId="389" priority="9">
      <formula>Q7&gt;0</formula>
    </cfRule>
    <cfRule type="expression" dxfId="388" priority="10">
      <formula>Q7&lt;0</formula>
    </cfRule>
  </conditionalFormatting>
  <conditionalFormatting sqref="Q8">
    <cfRule type="expression" dxfId="387" priority="7">
      <formula>Q8&gt;0</formula>
    </cfRule>
    <cfRule type="expression" dxfId="386" priority="8">
      <formula>Q8&lt;0</formula>
    </cfRule>
  </conditionalFormatting>
  <conditionalFormatting sqref="F117:F130 H117:H130">
    <cfRule type="expression" dxfId="385" priority="1">
      <formula>F117&gt;0</formula>
    </cfRule>
    <cfRule type="expression" dxfId="38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42797</v>
      </c>
      <c r="X2" s="10">
        <v>23.48</v>
      </c>
      <c r="Y2" s="10">
        <v>23.72</v>
      </c>
      <c r="Z2" s="10">
        <v>23.17</v>
      </c>
      <c r="AA2" s="10">
        <v>23.37</v>
      </c>
      <c r="AB2" s="94">
        <v>2608200</v>
      </c>
      <c r="AC2" s="10">
        <v>23.37</v>
      </c>
      <c r="AD2" s="2">
        <f>Y2-Z2</f>
        <v>0.54999999999999716</v>
      </c>
      <c r="AE2" s="137">
        <f>AC2/AC3-1</f>
        <v>-4.2771599657820403E-4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23.89</v>
      </c>
      <c r="W3" s="132">
        <v>42796</v>
      </c>
      <c r="X3" s="10">
        <v>23.84</v>
      </c>
      <c r="Y3" s="10">
        <v>23.9</v>
      </c>
      <c r="Z3" s="10">
        <v>23.33</v>
      </c>
      <c r="AA3" s="10">
        <v>23.38</v>
      </c>
      <c r="AB3" s="94">
        <v>3322900</v>
      </c>
      <c r="AC3" s="10">
        <v>23.38</v>
      </c>
      <c r="AD3" s="2">
        <f t="shared" ref="AD3:AD66" si="0">Y3-Z3</f>
        <v>0.57000000000000028</v>
      </c>
      <c r="AE3" s="137">
        <f t="shared" ref="AE3:AE66" si="1">AC3/AC4-1</f>
        <v>-1.6820857863751093E-2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23.89</v>
      </c>
      <c r="R4" s="499">
        <v>1.01E-2</v>
      </c>
      <c r="W4" s="132">
        <v>42795</v>
      </c>
      <c r="X4" s="10">
        <v>23.94</v>
      </c>
      <c r="Y4" s="10">
        <v>24.24</v>
      </c>
      <c r="Z4" s="10">
        <v>23.59</v>
      </c>
      <c r="AA4" s="10">
        <v>23.78</v>
      </c>
      <c r="AB4" s="94">
        <v>3614800</v>
      </c>
      <c r="AC4" s="10">
        <v>23.78</v>
      </c>
      <c r="AD4" s="2">
        <f t="shared" si="0"/>
        <v>0.64999999999999858</v>
      </c>
      <c r="AE4" s="137">
        <f t="shared" si="1"/>
        <v>-3.3528918692371512E-3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42794</v>
      </c>
      <c r="X5" s="10">
        <v>24.1</v>
      </c>
      <c r="Y5" s="10">
        <v>24.18</v>
      </c>
      <c r="Z5" s="10">
        <v>23.8</v>
      </c>
      <c r="AA5" s="10">
        <v>23.86</v>
      </c>
      <c r="AB5" s="94">
        <v>2849800</v>
      </c>
      <c r="AC5" s="10">
        <v>23.86</v>
      </c>
      <c r="AD5" s="2">
        <f t="shared" si="0"/>
        <v>0.37999999999999901</v>
      </c>
      <c r="AE5" s="137">
        <f t="shared" si="1"/>
        <v>-9.9585062240664657E-3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42793</v>
      </c>
      <c r="X6" s="10">
        <v>23.6</v>
      </c>
      <c r="Y6" s="10">
        <v>24.15</v>
      </c>
      <c r="Z6" s="10">
        <v>23.6</v>
      </c>
      <c r="AA6" s="10">
        <v>24.1</v>
      </c>
      <c r="AB6" s="94">
        <v>4620200</v>
      </c>
      <c r="AC6" s="10">
        <v>24.1</v>
      </c>
      <c r="AD6" s="2">
        <f t="shared" si="0"/>
        <v>0.54999999999999716</v>
      </c>
      <c r="AE6" s="137">
        <f t="shared" si="1"/>
        <v>3.5668242372153047E-2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42790</v>
      </c>
      <c r="X7" s="10">
        <v>23.26</v>
      </c>
      <c r="Y7" s="10">
        <v>23.83</v>
      </c>
      <c r="Z7" s="10">
        <v>23.16</v>
      </c>
      <c r="AA7" s="10">
        <v>23.27</v>
      </c>
      <c r="AB7" s="94">
        <v>3619400</v>
      </c>
      <c r="AC7" s="10">
        <v>23.27</v>
      </c>
      <c r="AD7" s="2">
        <f t="shared" si="0"/>
        <v>0.66999999999999815</v>
      </c>
      <c r="AE7" s="137">
        <f t="shared" si="1"/>
        <v>-4.2955326460492049E-4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23.81</v>
      </c>
      <c r="Y8" s="10">
        <v>24</v>
      </c>
      <c r="Z8" s="10">
        <v>23.21</v>
      </c>
      <c r="AA8" s="10">
        <v>23.28</v>
      </c>
      <c r="AB8" s="94">
        <v>4565600</v>
      </c>
      <c r="AC8" s="10">
        <v>23.28</v>
      </c>
      <c r="AD8" s="2">
        <f t="shared" si="0"/>
        <v>0.78999999999999915</v>
      </c>
      <c r="AE8" s="137">
        <f t="shared" si="1"/>
        <v>-2.3489932885905951E-2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23.66</v>
      </c>
      <c r="Y9" s="10">
        <v>23.86</v>
      </c>
      <c r="Z9" s="10">
        <v>23.42</v>
      </c>
      <c r="AA9" s="10">
        <v>23.84</v>
      </c>
      <c r="AB9" s="94">
        <v>4464700</v>
      </c>
      <c r="AC9" s="10">
        <v>23.84</v>
      </c>
      <c r="AD9" s="2">
        <f t="shared" si="0"/>
        <v>0.43999999999999773</v>
      </c>
      <c r="AE9" s="137">
        <f t="shared" si="1"/>
        <v>7.1820870299956763E-3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42787</v>
      </c>
      <c r="X10" s="10">
        <v>23.33</v>
      </c>
      <c r="Y10" s="10">
        <v>23.95</v>
      </c>
      <c r="Z10" s="10">
        <v>23.27</v>
      </c>
      <c r="AA10" s="10">
        <v>23.67</v>
      </c>
      <c r="AB10" s="94">
        <v>8268900</v>
      </c>
      <c r="AC10" s="10">
        <v>23.67</v>
      </c>
      <c r="AD10" s="2">
        <f t="shared" si="0"/>
        <v>0.67999999999999972</v>
      </c>
      <c r="AE10" s="137">
        <f t="shared" si="1"/>
        <v>2.0698576972833171E-2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22.56</v>
      </c>
      <c r="Y11" s="10">
        <v>24.12</v>
      </c>
      <c r="Z11" s="10">
        <v>22.56</v>
      </c>
      <c r="AA11" s="10">
        <v>23.19</v>
      </c>
      <c r="AB11" s="94">
        <v>13861400</v>
      </c>
      <c r="AC11" s="10">
        <v>23.19</v>
      </c>
      <c r="AD11" s="2">
        <f t="shared" si="0"/>
        <v>1.5600000000000023</v>
      </c>
      <c r="AE11" s="137">
        <f t="shared" si="1"/>
        <v>2.7925531914893664E-2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42782</v>
      </c>
      <c r="X12" s="10">
        <v>21.62</v>
      </c>
      <c r="Y12" s="10">
        <v>22.69</v>
      </c>
      <c r="Z12" s="10">
        <v>21.33</v>
      </c>
      <c r="AA12" s="10">
        <v>22.56</v>
      </c>
      <c r="AB12" s="94">
        <v>17742300</v>
      </c>
      <c r="AC12" s="10">
        <v>22.56</v>
      </c>
      <c r="AD12" s="2">
        <f t="shared" si="0"/>
        <v>1.360000000000003</v>
      </c>
      <c r="AE12" s="137">
        <f t="shared" si="1"/>
        <v>0.14692425012709687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42781</v>
      </c>
      <c r="X13" s="10">
        <v>19.54</v>
      </c>
      <c r="Y13" s="10">
        <v>19.82</v>
      </c>
      <c r="Z13" s="10">
        <v>19.41</v>
      </c>
      <c r="AA13" s="10">
        <v>19.670000000000002</v>
      </c>
      <c r="AB13" s="94">
        <v>3079300</v>
      </c>
      <c r="AC13" s="10">
        <v>19.670000000000002</v>
      </c>
      <c r="AD13" s="2">
        <f t="shared" si="0"/>
        <v>0.41000000000000014</v>
      </c>
      <c r="AE13" s="137">
        <f t="shared" si="1"/>
        <v>3.0596634370221309E-3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42780</v>
      </c>
      <c r="X14" s="10">
        <v>18.86</v>
      </c>
      <c r="Y14" s="10">
        <v>20.07</v>
      </c>
      <c r="Z14" s="10">
        <v>18.739999999999998</v>
      </c>
      <c r="AA14" s="10">
        <v>19.61</v>
      </c>
      <c r="AB14" s="94">
        <v>8875200</v>
      </c>
      <c r="AC14" s="10">
        <v>19.61</v>
      </c>
      <c r="AD14" s="2">
        <f t="shared" si="0"/>
        <v>1.3300000000000018</v>
      </c>
      <c r="AE14" s="137">
        <f t="shared" si="1"/>
        <v>4.4195953141640043E-2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42779</v>
      </c>
      <c r="X15" s="10">
        <v>18.989999999999998</v>
      </c>
      <c r="Y15" s="10">
        <v>19.07</v>
      </c>
      <c r="Z15" s="10">
        <v>18.690000000000001</v>
      </c>
      <c r="AA15" s="10">
        <v>18.78</v>
      </c>
      <c r="AB15" s="94">
        <v>4124000</v>
      </c>
      <c r="AC15" s="10">
        <v>18.78</v>
      </c>
      <c r="AD15" s="2">
        <f t="shared" si="0"/>
        <v>0.37999999999999901</v>
      </c>
      <c r="AE15" s="137">
        <f t="shared" si="1"/>
        <v>-1.623886851754841E-2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42776</v>
      </c>
      <c r="X16" s="10">
        <v>18.899999999999999</v>
      </c>
      <c r="Y16" s="10">
        <v>19.2</v>
      </c>
      <c r="Z16" s="10">
        <v>18.68</v>
      </c>
      <c r="AA16" s="10">
        <v>19.09</v>
      </c>
      <c r="AB16" s="94">
        <v>3570600</v>
      </c>
      <c r="AC16" s="10">
        <v>19.09</v>
      </c>
      <c r="AD16" s="2">
        <f t="shared" si="0"/>
        <v>0.51999999999999957</v>
      </c>
      <c r="AE16" s="137">
        <f t="shared" si="1"/>
        <v>1.7590618336886799E-2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42775</v>
      </c>
      <c r="X17" s="10">
        <v>18.73</v>
      </c>
      <c r="Y17" s="10">
        <v>18.88</v>
      </c>
      <c r="Z17" s="10">
        <v>18.62</v>
      </c>
      <c r="AA17" s="10">
        <v>18.760000000000002</v>
      </c>
      <c r="AB17" s="94">
        <v>2267000</v>
      </c>
      <c r="AC17" s="10">
        <v>18.760000000000002</v>
      </c>
      <c r="AD17" s="2">
        <f t="shared" si="0"/>
        <v>0.25999999999999801</v>
      </c>
      <c r="AE17" s="137">
        <f t="shared" si="1"/>
        <v>1.6017084890549427E-3</v>
      </c>
    </row>
    <row r="18" spans="1:31" x14ac:dyDescent="0.25">
      <c r="W18" s="132">
        <v>42774</v>
      </c>
      <c r="X18" s="10">
        <v>18.440000000000001</v>
      </c>
      <c r="Y18" s="10">
        <v>18.739999999999998</v>
      </c>
      <c r="Z18" s="10">
        <v>18.29</v>
      </c>
      <c r="AA18" s="10">
        <v>18.73</v>
      </c>
      <c r="AB18" s="94">
        <v>2587800</v>
      </c>
      <c r="AC18" s="10">
        <v>18.73</v>
      </c>
      <c r="AD18" s="2">
        <f t="shared" si="0"/>
        <v>0.44999999999999929</v>
      </c>
      <c r="AE18" s="137">
        <f t="shared" si="1"/>
        <v>1.6829533116178075E-2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42773</v>
      </c>
      <c r="X19" s="10">
        <v>18.25</v>
      </c>
      <c r="Y19" s="10">
        <v>18.489999999999998</v>
      </c>
      <c r="Z19" s="10">
        <v>18.079999999999998</v>
      </c>
      <c r="AA19" s="10">
        <v>18.420000000000002</v>
      </c>
      <c r="AB19" s="94">
        <v>3581600</v>
      </c>
      <c r="AC19" s="10">
        <v>18.420000000000002</v>
      </c>
      <c r="AD19" s="2">
        <f t="shared" si="0"/>
        <v>0.41000000000000014</v>
      </c>
      <c r="AE19" s="137">
        <f t="shared" si="1"/>
        <v>6.0076460950302391E-3</v>
      </c>
    </row>
    <row r="20" spans="1:31" x14ac:dyDescent="0.25">
      <c r="W20" s="132">
        <v>42772</v>
      </c>
      <c r="X20" s="10">
        <v>18.25</v>
      </c>
      <c r="Y20" s="10">
        <v>18.38</v>
      </c>
      <c r="Z20" s="10">
        <v>18.010000000000002</v>
      </c>
      <c r="AA20" s="10">
        <v>18.309999999999999</v>
      </c>
      <c r="AB20" s="94">
        <v>2764600</v>
      </c>
      <c r="AC20" s="10">
        <v>18.309999999999999</v>
      </c>
      <c r="AD20" s="2">
        <f t="shared" si="0"/>
        <v>0.36999999999999744</v>
      </c>
      <c r="AE20" s="137">
        <f t="shared" si="1"/>
        <v>-2.7233115468410229E-3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42769</v>
      </c>
      <c r="X21" s="10">
        <v>18.149999999999999</v>
      </c>
      <c r="Y21" s="10">
        <v>18.54</v>
      </c>
      <c r="Z21" s="10">
        <v>18.100000000000001</v>
      </c>
      <c r="AA21" s="10">
        <v>18.36</v>
      </c>
      <c r="AB21" s="94">
        <v>2953000</v>
      </c>
      <c r="AC21" s="10">
        <v>18.36</v>
      </c>
      <c r="AD21" s="2">
        <f t="shared" si="0"/>
        <v>0.43999999999999773</v>
      </c>
      <c r="AE21" s="137">
        <f t="shared" si="1"/>
        <v>9.9009900990099098E-3</v>
      </c>
    </row>
    <row r="22" spans="1:31" x14ac:dyDescent="0.25">
      <c r="B22" s="192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0">
        <f>(E22-D22)/D22</f>
        <v>1.2345679012345616E-2</v>
      </c>
      <c r="I22" s="40"/>
      <c r="W22" s="132">
        <v>42768</v>
      </c>
      <c r="X22" s="10">
        <v>18.46</v>
      </c>
      <c r="Y22" s="10">
        <v>18.55</v>
      </c>
      <c r="Z22" s="10">
        <v>18.14</v>
      </c>
      <c r="AA22" s="10">
        <v>18.18</v>
      </c>
      <c r="AB22" s="94">
        <v>3107500</v>
      </c>
      <c r="AC22" s="10">
        <v>18.18</v>
      </c>
      <c r="AD22" s="2">
        <f t="shared" si="0"/>
        <v>0.41000000000000014</v>
      </c>
      <c r="AE22" s="137">
        <f t="shared" si="1"/>
        <v>-1.8888289260658442E-2</v>
      </c>
    </row>
    <row r="23" spans="1:31" x14ac:dyDescent="0.25">
      <c r="B23" s="192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0">
        <f t="shared" ref="H23:H29" si="4">(E23-D23)/D23</f>
        <v>1.6753321779318469E-2</v>
      </c>
      <c r="I23" s="40">
        <v>17.100000000000001</v>
      </c>
      <c r="W23" s="132">
        <v>42767</v>
      </c>
      <c r="X23" s="10">
        <v>18.690000000000001</v>
      </c>
      <c r="Y23" s="10">
        <v>18.71</v>
      </c>
      <c r="Z23" s="10">
        <v>18.07</v>
      </c>
      <c r="AA23" s="10">
        <v>18.53</v>
      </c>
      <c r="AB23" s="94">
        <v>3036900</v>
      </c>
      <c r="AC23" s="10">
        <v>18.53</v>
      </c>
      <c r="AD23" s="2">
        <f t="shared" si="0"/>
        <v>0.64000000000000057</v>
      </c>
      <c r="AE23" s="137">
        <f t="shared" si="1"/>
        <v>1.0804970286331095E-3</v>
      </c>
    </row>
    <row r="24" spans="1:31" ht="12.75" customHeight="1" x14ac:dyDescent="0.25">
      <c r="B24" s="192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0">
        <f t="shared" si="4"/>
        <v>3.9789350497366864E-2</v>
      </c>
      <c r="I24" s="40"/>
      <c r="W24" s="132">
        <v>42766</v>
      </c>
      <c r="X24" s="10">
        <v>17.7</v>
      </c>
      <c r="Y24" s="10">
        <v>18.559999999999999</v>
      </c>
      <c r="Z24" s="10">
        <v>17.690000000000001</v>
      </c>
      <c r="AA24" s="10">
        <v>18.510000000000002</v>
      </c>
      <c r="AB24" s="94">
        <v>2981700</v>
      </c>
      <c r="AC24" s="10">
        <v>18.510000000000002</v>
      </c>
      <c r="AD24" s="2">
        <f t="shared" si="0"/>
        <v>0.86999999999999744</v>
      </c>
      <c r="AE24" s="137">
        <f t="shared" si="1"/>
        <v>3.4656232532140896E-2</v>
      </c>
    </row>
    <row r="25" spans="1:31" x14ac:dyDescent="0.25">
      <c r="B25" s="192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0">
        <f t="shared" si="4"/>
        <v>5.5990367248645381E-2</v>
      </c>
      <c r="I25" s="40"/>
      <c r="W25" s="132">
        <v>42765</v>
      </c>
      <c r="X25" s="10">
        <v>18.149999999999999</v>
      </c>
      <c r="Y25" s="10">
        <v>18.170000000000002</v>
      </c>
      <c r="Z25" s="10">
        <v>17.75</v>
      </c>
      <c r="AA25" s="10">
        <v>17.89</v>
      </c>
      <c r="AB25" s="94">
        <v>3429000</v>
      </c>
      <c r="AC25" s="10">
        <v>17.89</v>
      </c>
      <c r="AD25" s="2">
        <f t="shared" si="0"/>
        <v>0.42000000000000171</v>
      </c>
      <c r="AE25" s="137">
        <f t="shared" si="1"/>
        <v>-1.7032967032966972E-2</v>
      </c>
    </row>
    <row r="26" spans="1:31" x14ac:dyDescent="0.25">
      <c r="B26" s="192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0">
        <f t="shared" si="4"/>
        <v>0.11800120409391938</v>
      </c>
      <c r="I26" s="40"/>
      <c r="W26" s="132">
        <v>42762</v>
      </c>
      <c r="X26" s="10">
        <v>18.64</v>
      </c>
      <c r="Y26" s="10">
        <v>18.760000000000002</v>
      </c>
      <c r="Z26" s="10">
        <v>18.100000000000001</v>
      </c>
      <c r="AA26" s="10">
        <v>18.2</v>
      </c>
      <c r="AB26" s="94">
        <v>3540900</v>
      </c>
      <c r="AC26" s="10">
        <v>18.2</v>
      </c>
      <c r="AD26" s="2">
        <f t="shared" si="0"/>
        <v>0.66000000000000014</v>
      </c>
      <c r="AE26" s="137">
        <f t="shared" si="1"/>
        <v>-2.5174076057846939E-2</v>
      </c>
    </row>
    <row r="27" spans="1:31" x14ac:dyDescent="0.25">
      <c r="B27" s="192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0">
        <f t="shared" si="4"/>
        <v>1.1228945726762302E-2</v>
      </c>
      <c r="I27" s="40"/>
      <c r="W27" s="132">
        <v>42761</v>
      </c>
      <c r="X27" s="10">
        <v>18.899999999999999</v>
      </c>
      <c r="Y27" s="10">
        <v>19.02</v>
      </c>
      <c r="Z27" s="10">
        <v>18.63</v>
      </c>
      <c r="AA27" s="10">
        <v>18.670000000000002</v>
      </c>
      <c r="AB27" s="94">
        <v>2833000</v>
      </c>
      <c r="AC27" s="10">
        <v>18.670000000000002</v>
      </c>
      <c r="AD27" s="2">
        <f t="shared" si="0"/>
        <v>0.39000000000000057</v>
      </c>
      <c r="AE27" s="137">
        <f t="shared" si="1"/>
        <v>2.1470746108429584E-3</v>
      </c>
    </row>
    <row r="28" spans="1:31" x14ac:dyDescent="0.25">
      <c r="B28" s="192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0">
        <f t="shared" si="4"/>
        <v>0.10301837270341198</v>
      </c>
      <c r="I28" s="40"/>
      <c r="W28" s="132">
        <v>42760</v>
      </c>
      <c r="X28" s="10">
        <v>18.399999999999999</v>
      </c>
      <c r="Y28" s="10">
        <v>18.8</v>
      </c>
      <c r="Z28" s="10">
        <v>18.36</v>
      </c>
      <c r="AA28" s="10">
        <v>18.63</v>
      </c>
      <c r="AB28" s="94">
        <v>2383000</v>
      </c>
      <c r="AC28" s="10">
        <v>18.63</v>
      </c>
      <c r="AD28" s="2">
        <f t="shared" si="0"/>
        <v>0.44000000000000128</v>
      </c>
      <c r="AE28" s="137">
        <f t="shared" si="1"/>
        <v>1.0746910263299547E-3</v>
      </c>
    </row>
    <row r="29" spans="1:31" x14ac:dyDescent="0.25">
      <c r="B29" s="192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0">
        <f t="shared" si="4"/>
        <v>0</v>
      </c>
      <c r="I29" s="40"/>
      <c r="W29" s="132">
        <v>42759</v>
      </c>
      <c r="X29" s="10">
        <v>18.43</v>
      </c>
      <c r="Y29" s="10">
        <v>18.670000000000002</v>
      </c>
      <c r="Z29" s="10">
        <v>18.21</v>
      </c>
      <c r="AA29" s="10">
        <v>18.61</v>
      </c>
      <c r="AB29" s="94">
        <v>3407600</v>
      </c>
      <c r="AC29" s="10">
        <v>18.61</v>
      </c>
      <c r="AD29" s="2">
        <f t="shared" si="0"/>
        <v>0.46000000000000085</v>
      </c>
      <c r="AE29" s="137">
        <f t="shared" si="1"/>
        <v>1.1413043478260887E-2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42758</v>
      </c>
      <c r="X30" s="10">
        <v>18.5</v>
      </c>
      <c r="Y30" s="10">
        <v>18.75</v>
      </c>
      <c r="Z30" s="10">
        <v>18.059999999999999</v>
      </c>
      <c r="AA30" s="10">
        <v>18.399999999999999</v>
      </c>
      <c r="AB30" s="94">
        <v>4442900</v>
      </c>
      <c r="AC30" s="10">
        <v>18.399999999999999</v>
      </c>
      <c r="AD30" s="2">
        <f t="shared" si="0"/>
        <v>0.69000000000000128</v>
      </c>
      <c r="AE30" s="137">
        <f t="shared" si="1"/>
        <v>3.603603603603589E-2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42755</v>
      </c>
      <c r="X31" s="10">
        <v>17.850000000000001</v>
      </c>
      <c r="Y31" s="10">
        <v>18.03</v>
      </c>
      <c r="Z31" s="10">
        <v>17.670000000000002</v>
      </c>
      <c r="AA31" s="10">
        <v>17.760000000000002</v>
      </c>
      <c r="AB31" s="94">
        <v>2175000</v>
      </c>
      <c r="AC31" s="10">
        <v>17.760000000000002</v>
      </c>
      <c r="AD31" s="2">
        <f t="shared" si="0"/>
        <v>0.35999999999999943</v>
      </c>
      <c r="AE31" s="137">
        <f t="shared" si="1"/>
        <v>-3.9259674705550696E-3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42754</v>
      </c>
      <c r="X32" s="10">
        <v>17.899999999999999</v>
      </c>
      <c r="Y32" s="10">
        <v>18.04</v>
      </c>
      <c r="Z32" s="10">
        <v>17.64</v>
      </c>
      <c r="AA32" s="10">
        <v>17.829999999999998</v>
      </c>
      <c r="AB32" s="94">
        <v>3724200</v>
      </c>
      <c r="AC32" s="10">
        <v>17.829999999999998</v>
      </c>
      <c r="AD32" s="2">
        <f t="shared" si="0"/>
        <v>0.39999999999999858</v>
      </c>
      <c r="AE32" s="137">
        <f t="shared" si="1"/>
        <v>-2.4617067833698214E-2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132">
        <v>42753</v>
      </c>
      <c r="X33" s="10">
        <v>17.98</v>
      </c>
      <c r="Y33" s="10">
        <v>18.309999999999999</v>
      </c>
      <c r="Z33" s="10">
        <v>17.559999999999999</v>
      </c>
      <c r="AA33" s="10">
        <v>18.28</v>
      </c>
      <c r="AB33" s="94">
        <v>2682800</v>
      </c>
      <c r="AC33" s="10">
        <v>18.28</v>
      </c>
      <c r="AD33" s="2">
        <f t="shared" si="0"/>
        <v>0.75</v>
      </c>
      <c r="AE33" s="137">
        <f t="shared" si="1"/>
        <v>1.7250973845297946E-2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42752</v>
      </c>
      <c r="X34" s="10">
        <v>17.93</v>
      </c>
      <c r="Y34" s="10">
        <v>18.489999999999998</v>
      </c>
      <c r="Z34" s="10">
        <v>17.91</v>
      </c>
      <c r="AA34" s="10">
        <v>17.97</v>
      </c>
      <c r="AB34" s="94">
        <v>2089300</v>
      </c>
      <c r="AC34" s="10">
        <v>17.97</v>
      </c>
      <c r="AD34" s="2">
        <f t="shared" si="0"/>
        <v>0.57999999999999829</v>
      </c>
      <c r="AE34" s="137">
        <f t="shared" si="1"/>
        <v>-7.1823204419890763E-3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42748</v>
      </c>
      <c r="X35" s="10">
        <v>18.16</v>
      </c>
      <c r="Y35" s="10">
        <v>18.43</v>
      </c>
      <c r="Z35" s="10">
        <v>17.809999999999999</v>
      </c>
      <c r="AA35" s="10">
        <v>18.100000000000001</v>
      </c>
      <c r="AB35" s="94">
        <v>2793800</v>
      </c>
      <c r="AC35" s="10">
        <v>18.100000000000001</v>
      </c>
      <c r="AD35" s="2">
        <f t="shared" si="0"/>
        <v>0.62000000000000099</v>
      </c>
      <c r="AE35" s="137">
        <f t="shared" si="1"/>
        <v>-3.3039647577092213E-3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42747</v>
      </c>
      <c r="X36" s="10">
        <v>17.850000000000001</v>
      </c>
      <c r="Y36" s="10">
        <v>18.3</v>
      </c>
      <c r="Z36" s="10">
        <v>17.649999999999999</v>
      </c>
      <c r="AA36" s="10">
        <v>18.16</v>
      </c>
      <c r="AB36" s="94">
        <v>3074300</v>
      </c>
      <c r="AC36" s="10">
        <v>18.16</v>
      </c>
      <c r="AD36" s="2">
        <f t="shared" si="0"/>
        <v>0.65000000000000213</v>
      </c>
      <c r="AE36" s="137">
        <f t="shared" si="1"/>
        <v>1.1699164345403856E-2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42746</v>
      </c>
      <c r="X37" s="10">
        <v>18.16</v>
      </c>
      <c r="Y37" s="10">
        <v>18.16</v>
      </c>
      <c r="Z37" s="10">
        <v>17.809999999999999</v>
      </c>
      <c r="AA37" s="10">
        <v>17.95</v>
      </c>
      <c r="AB37" s="94">
        <v>2356800</v>
      </c>
      <c r="AC37" s="10">
        <v>17.95</v>
      </c>
      <c r="AD37" s="2">
        <f t="shared" si="0"/>
        <v>0.35000000000000142</v>
      </c>
      <c r="AE37" s="137">
        <f t="shared" si="1"/>
        <v>-1.4277869302581125E-2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42745</v>
      </c>
      <c r="X38" s="10">
        <v>17.8</v>
      </c>
      <c r="Y38" s="10">
        <v>18.260000000000002</v>
      </c>
      <c r="Z38" s="10">
        <v>17.8</v>
      </c>
      <c r="AA38" s="10">
        <v>18.21</v>
      </c>
      <c r="AB38" s="94">
        <v>3472000</v>
      </c>
      <c r="AC38" s="10">
        <v>18.21</v>
      </c>
      <c r="AD38" s="2">
        <f t="shared" si="0"/>
        <v>0.46000000000000085</v>
      </c>
      <c r="AE38" s="137">
        <f t="shared" si="1"/>
        <v>2.2459292532285291E-2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17.61</v>
      </c>
      <c r="Y39" s="10">
        <v>17.84</v>
      </c>
      <c r="Z39" s="10">
        <v>17.48</v>
      </c>
      <c r="AA39" s="10">
        <v>17.809999999999999</v>
      </c>
      <c r="AB39" s="94">
        <v>2367900</v>
      </c>
      <c r="AC39" s="10">
        <v>17.809999999999999</v>
      </c>
      <c r="AD39" s="2">
        <f t="shared" si="0"/>
        <v>0.35999999999999943</v>
      </c>
      <c r="AE39" s="137">
        <f t="shared" si="1"/>
        <v>1.3083048919226403E-2</v>
      </c>
    </row>
    <row r="40" spans="1:31" x14ac:dyDescent="0.25">
      <c r="B40" s="192"/>
      <c r="C40" s="10"/>
      <c r="D40" s="40"/>
      <c r="E40" s="40"/>
      <c r="F40" s="40"/>
      <c r="G40" s="40"/>
      <c r="H40" s="230"/>
      <c r="I40" s="40"/>
      <c r="W40" s="132">
        <v>42741</v>
      </c>
      <c r="X40" s="10">
        <v>18.309999999999999</v>
      </c>
      <c r="Y40" s="10">
        <v>18.36</v>
      </c>
      <c r="Z40" s="10">
        <v>17.5</v>
      </c>
      <c r="AA40" s="10">
        <v>17.579999999999998</v>
      </c>
      <c r="AB40" s="94">
        <v>4245200</v>
      </c>
      <c r="AC40" s="10">
        <v>17.579999999999998</v>
      </c>
      <c r="AD40" s="2">
        <f t="shared" si="0"/>
        <v>0.85999999999999943</v>
      </c>
      <c r="AE40" s="137">
        <f t="shared" si="1"/>
        <v>-3.723986856516992E-2</v>
      </c>
    </row>
    <row r="41" spans="1:31" x14ac:dyDescent="0.25">
      <c r="B41" s="192"/>
      <c r="C41" s="10"/>
      <c r="D41" s="40"/>
      <c r="E41" s="40"/>
      <c r="F41" s="40"/>
      <c r="G41" s="40"/>
      <c r="H41" s="230"/>
      <c r="I41" s="40"/>
      <c r="W41" s="132">
        <v>42740</v>
      </c>
      <c r="X41" s="10">
        <v>17.62</v>
      </c>
      <c r="Y41" s="10">
        <v>18.29</v>
      </c>
      <c r="Z41" s="10">
        <v>17.440000000000001</v>
      </c>
      <c r="AA41" s="10">
        <v>18.260000000000002</v>
      </c>
      <c r="AB41" s="94">
        <v>6254000</v>
      </c>
      <c r="AC41" s="10">
        <v>18.260000000000002</v>
      </c>
      <c r="AD41" s="2">
        <f t="shared" si="0"/>
        <v>0.84999999999999787</v>
      </c>
      <c r="AE41" s="137">
        <f t="shared" si="1"/>
        <v>6.6152149944873617E-3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T42" s="90" t="s">
        <v>113</v>
      </c>
      <c r="W42" s="132">
        <v>42739</v>
      </c>
      <c r="X42" s="10">
        <v>17.91</v>
      </c>
      <c r="Y42" s="10">
        <v>18.440000000000001</v>
      </c>
      <c r="Z42" s="10">
        <v>17.78</v>
      </c>
      <c r="AA42" s="10">
        <v>18.14</v>
      </c>
      <c r="AB42" s="94">
        <v>6919900</v>
      </c>
      <c r="AC42" s="10">
        <v>18.14</v>
      </c>
      <c r="AD42" s="2">
        <f t="shared" si="0"/>
        <v>0.66000000000000014</v>
      </c>
      <c r="AE42" s="137">
        <f t="shared" si="1"/>
        <v>1.6816143497757841E-2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34"/>
      <c r="T43" s="127" t="s">
        <v>98</v>
      </c>
      <c r="U43" s="97">
        <v>23.38</v>
      </c>
      <c r="W43" s="132">
        <v>42738</v>
      </c>
      <c r="X43" s="10">
        <v>18.7</v>
      </c>
      <c r="Y43" s="10">
        <v>18.77</v>
      </c>
      <c r="Z43" s="10">
        <v>17.39</v>
      </c>
      <c r="AA43" s="10">
        <v>17.84</v>
      </c>
      <c r="AB43" s="94">
        <v>7907500</v>
      </c>
      <c r="AC43" s="10">
        <v>17.84</v>
      </c>
      <c r="AD43" s="2">
        <f t="shared" si="0"/>
        <v>1.379999999999999</v>
      </c>
      <c r="AE43" s="137">
        <f t="shared" si="1"/>
        <v>-4.4456347080878533E-2</v>
      </c>
    </row>
    <row r="44" spans="1:31" ht="20.25" thickBot="1" x14ac:dyDescent="0.35">
      <c r="O44" s="703" t="s">
        <v>78</v>
      </c>
      <c r="P44" s="703"/>
      <c r="T44" s="92" t="s">
        <v>99</v>
      </c>
      <c r="U44" s="87">
        <v>23.48</v>
      </c>
      <c r="W44" s="132">
        <v>42734</v>
      </c>
      <c r="X44" s="10">
        <v>18.87</v>
      </c>
      <c r="Y44" s="10">
        <v>19.45</v>
      </c>
      <c r="Z44" s="10">
        <v>18.57</v>
      </c>
      <c r="AA44" s="10">
        <v>18.670000000000002</v>
      </c>
      <c r="AB44" s="94">
        <v>10686800</v>
      </c>
      <c r="AC44" s="10">
        <v>18.670000000000002</v>
      </c>
      <c r="AD44" s="2">
        <f t="shared" si="0"/>
        <v>0.87999999999999901</v>
      </c>
      <c r="AE44" s="137">
        <f t="shared" si="1"/>
        <v>9.7349918875069275E-3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26.279000000000003</v>
      </c>
      <c r="Q45" s="2"/>
      <c r="T45" s="92" t="s">
        <v>100</v>
      </c>
      <c r="U45" s="87" t="s">
        <v>129</v>
      </c>
      <c r="W45" s="132">
        <v>42733</v>
      </c>
      <c r="X45" s="10">
        <v>17.64</v>
      </c>
      <c r="Y45" s="10">
        <v>18.649999999999999</v>
      </c>
      <c r="Z45" s="10">
        <v>17.16</v>
      </c>
      <c r="AA45" s="10">
        <v>18.489999999999998</v>
      </c>
      <c r="AB45" s="94">
        <v>14320900</v>
      </c>
      <c r="AC45" s="10">
        <v>18.489999999999998</v>
      </c>
      <c r="AD45" s="2">
        <f t="shared" si="0"/>
        <v>1.4899999999999984</v>
      </c>
      <c r="AE45" s="137">
        <f t="shared" si="1"/>
        <v>3.5274356103023541E-2</v>
      </c>
    </row>
    <row r="46" spans="1:31" x14ac:dyDescent="0.25">
      <c r="A46" s="384" t="s">
        <v>1</v>
      </c>
      <c r="B46" s="384" t="s">
        <v>2</v>
      </c>
      <c r="C46" s="384" t="s">
        <v>4</v>
      </c>
      <c r="D46" s="386" t="s">
        <v>5</v>
      </c>
      <c r="E46" s="386" t="s">
        <v>94</v>
      </c>
      <c r="F46" s="386" t="s">
        <v>60</v>
      </c>
      <c r="G46" s="384" t="s">
        <v>3</v>
      </c>
      <c r="H46" s="384" t="s">
        <v>6</v>
      </c>
      <c r="I46" s="384" t="s">
        <v>7</v>
      </c>
      <c r="J46" s="384" t="s">
        <v>95</v>
      </c>
      <c r="K46" s="384" t="s">
        <v>61</v>
      </c>
      <c r="L46" s="384" t="s">
        <v>37</v>
      </c>
      <c r="M46" s="384" t="s">
        <v>38</v>
      </c>
      <c r="O46" s="82">
        <v>1.0900000000000001</v>
      </c>
      <c r="P46" s="82">
        <f t="shared" ref="P46:P65" si="5">O46*$Q$4</f>
        <v>26.040100000000002</v>
      </c>
      <c r="Q46" s="2"/>
      <c r="T46" s="92" t="s">
        <v>101</v>
      </c>
      <c r="U46" s="87" t="s">
        <v>129</v>
      </c>
      <c r="W46" s="132">
        <v>42732</v>
      </c>
      <c r="X46" s="10">
        <v>14.58</v>
      </c>
      <c r="Y46" s="10">
        <v>18.3</v>
      </c>
      <c r="Z46" s="10">
        <v>14.31</v>
      </c>
      <c r="AA46" s="10">
        <v>17.86</v>
      </c>
      <c r="AB46" s="94">
        <v>22625000</v>
      </c>
      <c r="AC46" s="10">
        <v>17.86</v>
      </c>
      <c r="AD46" s="2">
        <f t="shared" si="0"/>
        <v>3.99</v>
      </c>
      <c r="AE46" s="137">
        <f t="shared" si="1"/>
        <v>0.23087525844245338</v>
      </c>
    </row>
    <row r="47" spans="1:31" x14ac:dyDescent="0.25">
      <c r="A47" s="387" t="s">
        <v>15</v>
      </c>
      <c r="B47" s="377">
        <v>42153</v>
      </c>
      <c r="C47" s="378">
        <v>1</v>
      </c>
      <c r="D47" s="379">
        <v>26.75</v>
      </c>
      <c r="E47" s="379">
        <v>0</v>
      </c>
      <c r="F47" s="379">
        <f>C47*D47</f>
        <v>26.75</v>
      </c>
      <c r="G47" s="377">
        <v>42226</v>
      </c>
      <c r="H47" s="378">
        <v>170</v>
      </c>
      <c r="I47" s="378">
        <v>22.35</v>
      </c>
      <c r="J47" s="379">
        <v>7.0000000000000007E-2</v>
      </c>
      <c r="K47" s="378">
        <f t="shared" ref="K47:K54" si="6">H47*I47-J47</f>
        <v>3799.4300000000003</v>
      </c>
      <c r="L47" s="378" t="s">
        <v>80</v>
      </c>
      <c r="M47" s="378"/>
      <c r="O47" s="82">
        <v>1.08</v>
      </c>
      <c r="P47" s="82">
        <f t="shared" si="5"/>
        <v>25.801200000000001</v>
      </c>
      <c r="Q47" s="2"/>
      <c r="T47" s="92" t="s">
        <v>102</v>
      </c>
      <c r="U47" s="87">
        <v>23.5</v>
      </c>
      <c r="W47" s="132">
        <v>42731</v>
      </c>
      <c r="X47" s="10">
        <v>14.17</v>
      </c>
      <c r="Y47" s="10">
        <v>14.58</v>
      </c>
      <c r="Z47" s="10">
        <v>14.07</v>
      </c>
      <c r="AA47" s="10">
        <v>14.51</v>
      </c>
      <c r="AB47" s="94">
        <v>2268800</v>
      </c>
      <c r="AC47" s="10">
        <v>14.51</v>
      </c>
      <c r="AD47" s="2">
        <f t="shared" si="0"/>
        <v>0.50999999999999979</v>
      </c>
      <c r="AE47" s="137">
        <f t="shared" si="1"/>
        <v>2.5441696113074119E-2</v>
      </c>
    </row>
    <row r="48" spans="1:31" x14ac:dyDescent="0.25">
      <c r="A48" s="388" t="s">
        <v>71</v>
      </c>
      <c r="B48" s="377">
        <v>42173</v>
      </c>
      <c r="C48" s="378">
        <v>19</v>
      </c>
      <c r="D48" s="379">
        <v>24.84</v>
      </c>
      <c r="E48" s="379">
        <v>0</v>
      </c>
      <c r="F48" s="379">
        <f t="shared" ref="F48:F61" si="7">C48*D48</f>
        <v>471.96</v>
      </c>
      <c r="G48" s="377">
        <v>42263</v>
      </c>
      <c r="H48" s="378">
        <v>120</v>
      </c>
      <c r="I48" s="378">
        <v>19.28</v>
      </c>
      <c r="J48" s="378">
        <v>0.04</v>
      </c>
      <c r="K48" s="378">
        <f t="shared" si="6"/>
        <v>2313.5600000000004</v>
      </c>
      <c r="L48" s="378"/>
      <c r="M48" s="378"/>
      <c r="O48" s="82">
        <v>1.07</v>
      </c>
      <c r="P48" s="82">
        <f t="shared" si="5"/>
        <v>25.5623</v>
      </c>
      <c r="Q48" s="2"/>
      <c r="T48" s="92" t="s">
        <v>103</v>
      </c>
      <c r="U48" s="87">
        <v>1.3101</v>
      </c>
      <c r="W48" s="132">
        <v>42727</v>
      </c>
      <c r="X48" s="10">
        <v>14.18</v>
      </c>
      <c r="Y48" s="10">
        <v>14.43</v>
      </c>
      <c r="Z48" s="10">
        <v>14.1</v>
      </c>
      <c r="AA48" s="10">
        <v>14.15</v>
      </c>
      <c r="AB48" s="94">
        <v>1691000</v>
      </c>
      <c r="AC48" s="10">
        <v>14.15</v>
      </c>
      <c r="AD48" s="2">
        <f t="shared" si="0"/>
        <v>0.33000000000000007</v>
      </c>
      <c r="AE48" s="137">
        <f t="shared" si="1"/>
        <v>9.2724679029958512E-3</v>
      </c>
    </row>
    <row r="49" spans="1:31" x14ac:dyDescent="0.25">
      <c r="A49" s="378"/>
      <c r="B49" s="377">
        <v>42184</v>
      </c>
      <c r="C49" s="378">
        <v>10</v>
      </c>
      <c r="D49" s="379">
        <v>24.33</v>
      </c>
      <c r="E49" s="379">
        <v>0</v>
      </c>
      <c r="F49" s="379">
        <f t="shared" si="7"/>
        <v>243.29999999999998</v>
      </c>
      <c r="G49" s="377">
        <v>42284</v>
      </c>
      <c r="H49" s="378">
        <v>40</v>
      </c>
      <c r="I49" s="378">
        <v>20.45</v>
      </c>
      <c r="J49" s="378">
        <v>0.02</v>
      </c>
      <c r="K49" s="378">
        <f t="shared" si="6"/>
        <v>817.98</v>
      </c>
      <c r="L49" s="378"/>
      <c r="M49" s="378"/>
      <c r="O49" s="82">
        <v>1.06</v>
      </c>
      <c r="P49" s="82">
        <f t="shared" si="5"/>
        <v>25.323400000000003</v>
      </c>
      <c r="Q49" s="2"/>
      <c r="T49" s="92" t="s">
        <v>122</v>
      </c>
      <c r="U49" s="87" t="s">
        <v>479</v>
      </c>
      <c r="W49" s="132">
        <v>42726</v>
      </c>
      <c r="X49" s="10">
        <v>14.55</v>
      </c>
      <c r="Y49" s="10">
        <v>14.59</v>
      </c>
      <c r="Z49" s="10">
        <v>14.02</v>
      </c>
      <c r="AA49" s="10">
        <v>14.02</v>
      </c>
      <c r="AB49" s="94">
        <v>2546400</v>
      </c>
      <c r="AC49" s="10">
        <v>14.02</v>
      </c>
      <c r="AD49" s="2">
        <f t="shared" si="0"/>
        <v>0.57000000000000028</v>
      </c>
      <c r="AE49" s="137">
        <f t="shared" si="1"/>
        <v>-3.9726027397260277E-2</v>
      </c>
    </row>
    <row r="50" spans="1:31" x14ac:dyDescent="0.25">
      <c r="A50" s="378"/>
      <c r="B50" s="377">
        <v>42185</v>
      </c>
      <c r="C50" s="378">
        <v>5</v>
      </c>
      <c r="D50" s="379">
        <v>23.82</v>
      </c>
      <c r="E50" s="379">
        <v>0</v>
      </c>
      <c r="F50" s="379">
        <f t="shared" si="7"/>
        <v>119.1</v>
      </c>
      <c r="G50" s="377">
        <v>42285</v>
      </c>
      <c r="H50" s="378">
        <v>80</v>
      </c>
      <c r="I50" s="379">
        <v>21.14</v>
      </c>
      <c r="J50" s="379">
        <v>0.03</v>
      </c>
      <c r="K50" s="378">
        <f t="shared" si="6"/>
        <v>1691.17</v>
      </c>
      <c r="L50" s="378"/>
      <c r="M50" s="378"/>
      <c r="O50" s="82">
        <v>1.05</v>
      </c>
      <c r="P50" s="82">
        <f t="shared" si="5"/>
        <v>25.084500000000002</v>
      </c>
      <c r="Q50" s="2"/>
      <c r="T50" s="92"/>
      <c r="U50" s="87"/>
      <c r="W50" s="132">
        <v>42725</v>
      </c>
      <c r="X50" s="10">
        <v>14.6</v>
      </c>
      <c r="Y50" s="10">
        <v>14.69</v>
      </c>
      <c r="Z50" s="10">
        <v>14.46</v>
      </c>
      <c r="AA50" s="10">
        <v>14.6</v>
      </c>
      <c r="AB50" s="94">
        <v>1676000</v>
      </c>
      <c r="AC50" s="10">
        <v>14.6</v>
      </c>
      <c r="AD50" s="2">
        <f t="shared" si="0"/>
        <v>0.22999999999999865</v>
      </c>
      <c r="AE50" s="137">
        <f t="shared" si="1"/>
        <v>-6.8027210884353817E-3</v>
      </c>
    </row>
    <row r="51" spans="1:31" x14ac:dyDescent="0.25">
      <c r="A51" s="378"/>
      <c r="B51" s="377">
        <v>42185</v>
      </c>
      <c r="C51" s="378">
        <v>15</v>
      </c>
      <c r="D51" s="379">
        <v>23.71</v>
      </c>
      <c r="E51" s="379">
        <v>0</v>
      </c>
      <c r="F51" s="379">
        <f t="shared" si="7"/>
        <v>355.65000000000003</v>
      </c>
      <c r="G51" s="377">
        <v>42010</v>
      </c>
      <c r="H51" s="378">
        <v>60</v>
      </c>
      <c r="I51" s="378">
        <v>17.760000000000002</v>
      </c>
      <c r="J51" s="378">
        <v>0.02</v>
      </c>
      <c r="K51" s="378">
        <f t="shared" si="6"/>
        <v>1065.5800000000002</v>
      </c>
      <c r="L51" s="378"/>
      <c r="M51" s="378"/>
      <c r="O51" s="82">
        <v>1.04</v>
      </c>
      <c r="P51" s="82">
        <f t="shared" si="5"/>
        <v>24.845600000000001</v>
      </c>
      <c r="Q51" s="2"/>
      <c r="T51" s="92" t="s">
        <v>105</v>
      </c>
      <c r="U51" s="87" t="s">
        <v>684</v>
      </c>
      <c r="W51" s="132">
        <v>42724</v>
      </c>
      <c r="X51" s="10">
        <v>14.52</v>
      </c>
      <c r="Y51" s="10">
        <v>14.79</v>
      </c>
      <c r="Z51" s="10">
        <v>14.43</v>
      </c>
      <c r="AA51" s="10">
        <v>14.7</v>
      </c>
      <c r="AB51" s="94">
        <v>3427100</v>
      </c>
      <c r="AC51" s="10">
        <v>14.7</v>
      </c>
      <c r="AD51" s="2">
        <f t="shared" si="0"/>
        <v>0.35999999999999943</v>
      </c>
      <c r="AE51" s="137">
        <f t="shared" si="1"/>
        <v>1.5193370165745845E-2</v>
      </c>
    </row>
    <row r="52" spans="1:31" x14ac:dyDescent="0.25">
      <c r="A52" s="378"/>
      <c r="B52" s="377">
        <v>42185</v>
      </c>
      <c r="C52" s="378">
        <v>30</v>
      </c>
      <c r="D52" s="379">
        <v>23.65</v>
      </c>
      <c r="E52" s="379">
        <v>0</v>
      </c>
      <c r="F52" s="379">
        <f t="shared" si="7"/>
        <v>709.5</v>
      </c>
      <c r="G52" s="377">
        <v>42398</v>
      </c>
      <c r="H52" s="378">
        <v>60</v>
      </c>
      <c r="I52" s="378">
        <v>17.559999999999999</v>
      </c>
      <c r="J52" s="378">
        <v>0.02</v>
      </c>
      <c r="K52" s="378">
        <f t="shared" si="6"/>
        <v>1053.58</v>
      </c>
      <c r="L52" s="378"/>
      <c r="M52" s="378"/>
      <c r="O52" s="82">
        <v>1.03</v>
      </c>
      <c r="P52" s="82">
        <f t="shared" si="5"/>
        <v>24.6067</v>
      </c>
      <c r="Q52" s="2"/>
      <c r="T52" s="92" t="s">
        <v>106</v>
      </c>
      <c r="U52" s="87" t="s">
        <v>350</v>
      </c>
      <c r="W52" s="132">
        <v>42723</v>
      </c>
      <c r="X52" s="10">
        <v>14.64</v>
      </c>
      <c r="Y52" s="10">
        <v>14.74</v>
      </c>
      <c r="Z52" s="10">
        <v>14.4</v>
      </c>
      <c r="AA52" s="10">
        <v>14.48</v>
      </c>
      <c r="AB52" s="94">
        <v>2036500</v>
      </c>
      <c r="AC52" s="10">
        <v>14.48</v>
      </c>
      <c r="AD52" s="2">
        <f t="shared" si="0"/>
        <v>0.33999999999999986</v>
      </c>
      <c r="AE52" s="137">
        <f t="shared" si="1"/>
        <v>-6.1770761839395893E-3</v>
      </c>
    </row>
    <row r="53" spans="1:31" x14ac:dyDescent="0.25">
      <c r="A53" s="378"/>
      <c r="B53" s="377">
        <v>42185</v>
      </c>
      <c r="C53" s="378">
        <v>40</v>
      </c>
      <c r="D53" s="379">
        <v>23.2</v>
      </c>
      <c r="E53" s="379">
        <v>0</v>
      </c>
      <c r="F53" s="379">
        <f t="shared" si="7"/>
        <v>928</v>
      </c>
      <c r="G53" s="377">
        <v>42416</v>
      </c>
      <c r="H53" s="378">
        <v>60</v>
      </c>
      <c r="I53" s="378">
        <v>16.82</v>
      </c>
      <c r="J53" s="378">
        <v>0.02</v>
      </c>
      <c r="K53" s="378">
        <f t="shared" si="6"/>
        <v>1009.1800000000001</v>
      </c>
      <c r="L53" s="378"/>
      <c r="M53" s="378"/>
      <c r="O53" s="82">
        <v>1.02</v>
      </c>
      <c r="P53" s="82">
        <f t="shared" si="5"/>
        <v>24.367800000000003</v>
      </c>
      <c r="Q53" s="2"/>
      <c r="T53" s="92" t="s">
        <v>107</v>
      </c>
      <c r="U53" s="89">
        <v>2609835</v>
      </c>
      <c r="W53" s="132">
        <v>42720</v>
      </c>
      <c r="X53" s="10">
        <v>14.9</v>
      </c>
      <c r="Y53" s="10">
        <v>14.95</v>
      </c>
      <c r="Z53" s="10">
        <v>14.41</v>
      </c>
      <c r="AA53" s="10">
        <v>14.57</v>
      </c>
      <c r="AB53" s="94">
        <v>3440000</v>
      </c>
      <c r="AC53" s="10">
        <v>14.57</v>
      </c>
      <c r="AD53" s="2">
        <f t="shared" si="0"/>
        <v>0.53999999999999915</v>
      </c>
      <c r="AE53" s="137">
        <f t="shared" si="1"/>
        <v>-2.2147651006711455E-2</v>
      </c>
    </row>
    <row r="54" spans="1:31" x14ac:dyDescent="0.25">
      <c r="A54" s="378"/>
      <c r="B54" s="377">
        <v>42185</v>
      </c>
      <c r="C54" s="378">
        <v>50</v>
      </c>
      <c r="D54" s="379">
        <v>22.94</v>
      </c>
      <c r="E54" s="379">
        <v>0</v>
      </c>
      <c r="F54" s="379">
        <f t="shared" si="7"/>
        <v>1147</v>
      </c>
      <c r="G54" s="377">
        <v>42423</v>
      </c>
      <c r="H54" s="378">
        <v>60</v>
      </c>
      <c r="I54" s="378">
        <v>17.84</v>
      </c>
      <c r="J54" s="378">
        <v>0.02</v>
      </c>
      <c r="K54" s="378">
        <f t="shared" si="6"/>
        <v>1070.3800000000001</v>
      </c>
      <c r="L54" s="378"/>
      <c r="M54" s="378"/>
      <c r="O54" s="82">
        <v>1.01</v>
      </c>
      <c r="P54" s="82">
        <f t="shared" si="5"/>
        <v>24.128900000000002</v>
      </c>
      <c r="Q54" s="2"/>
      <c r="T54" s="92" t="s">
        <v>110</v>
      </c>
      <c r="U54" s="89">
        <v>4500540</v>
      </c>
      <c r="W54" s="132">
        <v>42719</v>
      </c>
      <c r="X54" s="10">
        <v>15.3</v>
      </c>
      <c r="Y54" s="10">
        <v>15.33</v>
      </c>
      <c r="Z54" s="10">
        <v>14.74</v>
      </c>
      <c r="AA54" s="10">
        <v>14.9</v>
      </c>
      <c r="AB54" s="94">
        <v>2771000</v>
      </c>
      <c r="AC54" s="10">
        <v>14.9</v>
      </c>
      <c r="AD54" s="2">
        <f t="shared" si="0"/>
        <v>0.58999999999999986</v>
      </c>
      <c r="AE54" s="137">
        <f t="shared" si="1"/>
        <v>-2.550686723348583E-2</v>
      </c>
    </row>
    <row r="55" spans="1:31" x14ac:dyDescent="0.25">
      <c r="A55" s="378"/>
      <c r="B55" s="377">
        <v>42209</v>
      </c>
      <c r="C55" s="378">
        <v>50</v>
      </c>
      <c r="D55" s="379">
        <v>19.75</v>
      </c>
      <c r="E55" s="379">
        <v>0</v>
      </c>
      <c r="F55" s="379">
        <f t="shared" si="7"/>
        <v>987.5</v>
      </c>
      <c r="G55" s="378"/>
      <c r="H55" s="378"/>
      <c r="I55" s="378"/>
      <c r="J55" s="378"/>
      <c r="K55" s="378"/>
      <c r="L55" s="378"/>
      <c r="M55" s="378"/>
      <c r="O55" s="82">
        <v>1</v>
      </c>
      <c r="P55" s="82">
        <f t="shared" si="5"/>
        <v>23.89</v>
      </c>
      <c r="Q55" s="2"/>
      <c r="T55" s="92" t="s">
        <v>108</v>
      </c>
      <c r="U55" s="87" t="s">
        <v>568</v>
      </c>
      <c r="W55" s="132">
        <v>42718</v>
      </c>
      <c r="X55" s="10">
        <v>15.48</v>
      </c>
      <c r="Y55" s="10">
        <v>15.57</v>
      </c>
      <c r="Z55" s="10">
        <v>14.85</v>
      </c>
      <c r="AA55" s="10">
        <v>15.29</v>
      </c>
      <c r="AB55" s="94">
        <v>3704700</v>
      </c>
      <c r="AC55" s="10">
        <v>15.29</v>
      </c>
      <c r="AD55" s="2">
        <f t="shared" si="0"/>
        <v>0.72000000000000064</v>
      </c>
      <c r="AE55" s="137">
        <f t="shared" si="1"/>
        <v>-1.4184397163120588E-2</v>
      </c>
    </row>
    <row r="56" spans="1:31" x14ac:dyDescent="0.25">
      <c r="A56" s="378"/>
      <c r="B56" s="377">
        <v>42212</v>
      </c>
      <c r="C56" s="378">
        <v>30</v>
      </c>
      <c r="D56" s="379">
        <v>19.2</v>
      </c>
      <c r="E56" s="379">
        <v>0</v>
      </c>
      <c r="F56" s="379">
        <f t="shared" si="7"/>
        <v>576</v>
      </c>
      <c r="G56" s="378"/>
      <c r="H56" s="378"/>
      <c r="I56" s="378"/>
      <c r="J56" s="378"/>
      <c r="K56" s="378"/>
      <c r="L56" s="378"/>
      <c r="M56" s="378"/>
      <c r="O56" s="82">
        <v>0.99</v>
      </c>
      <c r="P56" s="82">
        <f t="shared" si="5"/>
        <v>23.6511</v>
      </c>
      <c r="Q56" s="2"/>
      <c r="T56" s="92" t="s">
        <v>111</v>
      </c>
      <c r="U56" s="87">
        <v>19.7</v>
      </c>
      <c r="W56" s="132">
        <v>42717</v>
      </c>
      <c r="X56" s="10">
        <v>15.68</v>
      </c>
      <c r="Y56" s="10">
        <v>15.74</v>
      </c>
      <c r="Z56" s="10">
        <v>15.23</v>
      </c>
      <c r="AA56" s="10">
        <v>15.51</v>
      </c>
      <c r="AB56" s="94">
        <v>2175900</v>
      </c>
      <c r="AC56" s="10">
        <v>15.51</v>
      </c>
      <c r="AD56" s="2">
        <f t="shared" si="0"/>
        <v>0.50999999999999979</v>
      </c>
      <c r="AE56" s="137">
        <f t="shared" si="1"/>
        <v>-4.49293966623876E-3</v>
      </c>
    </row>
    <row r="57" spans="1:31" x14ac:dyDescent="0.25">
      <c r="A57" s="378"/>
      <c r="B57" s="377">
        <v>42240</v>
      </c>
      <c r="C57" s="378">
        <v>40</v>
      </c>
      <c r="D57" s="379">
        <v>19.93</v>
      </c>
      <c r="E57" s="379">
        <v>0</v>
      </c>
      <c r="F57" s="379">
        <f t="shared" si="7"/>
        <v>797.2</v>
      </c>
      <c r="G57" s="378"/>
      <c r="H57" s="378"/>
      <c r="I57" s="378"/>
      <c r="J57" s="378"/>
      <c r="K57" s="378"/>
      <c r="L57" s="378"/>
      <c r="M57" s="378"/>
      <c r="O57" s="82">
        <v>0.98</v>
      </c>
      <c r="P57" s="82">
        <f t="shared" si="5"/>
        <v>23.412199999999999</v>
      </c>
      <c r="Q57" s="2"/>
      <c r="T57" s="92" t="s">
        <v>112</v>
      </c>
      <c r="U57" s="87">
        <v>1.19</v>
      </c>
      <c r="W57" s="132">
        <v>42716</v>
      </c>
      <c r="X57" s="10">
        <v>16.64</v>
      </c>
      <c r="Y57" s="10">
        <v>16.690000000000001</v>
      </c>
      <c r="Z57" s="10">
        <v>15.56</v>
      </c>
      <c r="AA57" s="10">
        <v>15.58</v>
      </c>
      <c r="AB57" s="94">
        <v>2799900</v>
      </c>
      <c r="AC57" s="10">
        <v>15.58</v>
      </c>
      <c r="AD57" s="2">
        <f t="shared" si="0"/>
        <v>1.1300000000000008</v>
      </c>
      <c r="AE57" s="137">
        <f t="shared" si="1"/>
        <v>-6.8181818181818121E-2</v>
      </c>
    </row>
    <row r="58" spans="1:31" x14ac:dyDescent="0.25">
      <c r="A58" s="378"/>
      <c r="B58" s="377">
        <v>42261</v>
      </c>
      <c r="C58" s="378">
        <v>120</v>
      </c>
      <c r="D58" s="379">
        <v>18.7</v>
      </c>
      <c r="E58" s="379">
        <v>0</v>
      </c>
      <c r="F58" s="379">
        <f t="shared" si="7"/>
        <v>2244</v>
      </c>
      <c r="G58" s="378"/>
      <c r="H58" s="378"/>
      <c r="I58" s="378"/>
      <c r="J58" s="378"/>
      <c r="K58" s="378"/>
      <c r="L58" s="378"/>
      <c r="M58" s="378"/>
      <c r="O58" s="82">
        <v>0.97</v>
      </c>
      <c r="P58" s="82">
        <f t="shared" si="5"/>
        <v>23.173300000000001</v>
      </c>
      <c r="T58" s="92" t="s">
        <v>109</v>
      </c>
      <c r="U58" s="87" t="s">
        <v>123</v>
      </c>
      <c r="W58" s="132">
        <v>42713</v>
      </c>
      <c r="X58" s="10">
        <v>17.010000000000002</v>
      </c>
      <c r="Y58" s="10">
        <v>17.100000000000001</v>
      </c>
      <c r="Z58" s="10">
        <v>16.559999999999999</v>
      </c>
      <c r="AA58" s="10">
        <v>16.72</v>
      </c>
      <c r="AB58" s="94">
        <v>2752100</v>
      </c>
      <c r="AC58" s="10">
        <v>16.72</v>
      </c>
      <c r="AD58" s="2">
        <f t="shared" si="0"/>
        <v>0.5400000000000027</v>
      </c>
      <c r="AE58" s="137">
        <f t="shared" si="1"/>
        <v>-1.7048794826572733E-2</v>
      </c>
    </row>
    <row r="59" spans="1:31" x14ac:dyDescent="0.25">
      <c r="A59" s="378"/>
      <c r="B59" s="377">
        <v>42349</v>
      </c>
      <c r="C59" s="378">
        <v>60</v>
      </c>
      <c r="D59" s="379">
        <v>18.04</v>
      </c>
      <c r="E59" s="379">
        <v>0</v>
      </c>
      <c r="F59" s="379">
        <f t="shared" si="7"/>
        <v>1082.3999999999999</v>
      </c>
      <c r="G59" s="378"/>
      <c r="H59" s="378"/>
      <c r="I59" s="378"/>
      <c r="J59" s="378"/>
      <c r="K59" s="378"/>
      <c r="L59" s="378"/>
      <c r="M59" s="378"/>
      <c r="O59" s="82">
        <v>0.96</v>
      </c>
      <c r="P59" s="82">
        <f t="shared" si="5"/>
        <v>22.9344</v>
      </c>
      <c r="W59" s="132">
        <v>42712</v>
      </c>
      <c r="X59" s="10">
        <v>15.84</v>
      </c>
      <c r="Y59" s="10">
        <v>17.28</v>
      </c>
      <c r="Z59" s="10">
        <v>15.75</v>
      </c>
      <c r="AA59" s="10">
        <v>17.010000000000002</v>
      </c>
      <c r="AB59" s="94">
        <v>5686000</v>
      </c>
      <c r="AC59" s="10">
        <v>17.010000000000002</v>
      </c>
      <c r="AD59" s="2">
        <f t="shared" si="0"/>
        <v>1.5300000000000011</v>
      </c>
      <c r="AE59" s="137">
        <f t="shared" si="1"/>
        <v>8.2749840865690594E-2</v>
      </c>
    </row>
    <row r="60" spans="1:31" x14ac:dyDescent="0.25">
      <c r="A60" s="378"/>
      <c r="B60" s="377">
        <v>42362</v>
      </c>
      <c r="C60" s="378">
        <v>120</v>
      </c>
      <c r="D60" s="379">
        <v>17.079999999999998</v>
      </c>
      <c r="E60" s="379">
        <v>0</v>
      </c>
      <c r="F60" s="379">
        <f t="shared" si="7"/>
        <v>2049.6</v>
      </c>
      <c r="G60" s="378"/>
      <c r="H60" s="378"/>
      <c r="I60" s="378"/>
      <c r="J60" s="378"/>
      <c r="K60" s="378"/>
      <c r="L60" s="378"/>
      <c r="M60" s="378"/>
      <c r="O60" s="82">
        <v>0.95</v>
      </c>
      <c r="P60" s="82">
        <f t="shared" si="5"/>
        <v>22.695499999999999</v>
      </c>
      <c r="W60" s="132">
        <v>42711</v>
      </c>
      <c r="X60" s="10">
        <v>15.44</v>
      </c>
      <c r="Y60" s="10">
        <v>15.71</v>
      </c>
      <c r="Z60" s="10">
        <v>15.39</v>
      </c>
      <c r="AA60" s="10">
        <v>15.71</v>
      </c>
      <c r="AB60" s="94">
        <v>2124300</v>
      </c>
      <c r="AC60" s="10">
        <v>15.71</v>
      </c>
      <c r="AD60" s="2">
        <f t="shared" si="0"/>
        <v>0.32000000000000028</v>
      </c>
      <c r="AE60" s="137">
        <f t="shared" si="1"/>
        <v>2.012987012987022E-2</v>
      </c>
    </row>
    <row r="61" spans="1:31" x14ac:dyDescent="0.25">
      <c r="A61" s="378"/>
      <c r="B61" s="377">
        <v>42409</v>
      </c>
      <c r="C61" s="378">
        <v>60</v>
      </c>
      <c r="D61" s="379">
        <v>15.45</v>
      </c>
      <c r="E61" s="379">
        <v>0</v>
      </c>
      <c r="F61" s="379">
        <f t="shared" si="7"/>
        <v>927</v>
      </c>
      <c r="G61" s="378"/>
      <c r="H61" s="378"/>
      <c r="I61" s="378"/>
      <c r="J61" s="378"/>
      <c r="K61" s="378"/>
      <c r="L61" s="378"/>
      <c r="M61" s="378"/>
      <c r="O61" s="82">
        <v>0.94</v>
      </c>
      <c r="P61" s="82">
        <f t="shared" si="5"/>
        <v>22.456599999999998</v>
      </c>
      <c r="W61" s="132">
        <v>42710</v>
      </c>
      <c r="X61" s="10">
        <v>15.35</v>
      </c>
      <c r="Y61" s="10">
        <v>15.49</v>
      </c>
      <c r="Z61" s="10">
        <v>15.21</v>
      </c>
      <c r="AA61" s="10">
        <v>15.4</v>
      </c>
      <c r="AB61" s="94">
        <v>1654300</v>
      </c>
      <c r="AC61" s="10">
        <v>15.4</v>
      </c>
      <c r="AD61" s="2">
        <f t="shared" si="0"/>
        <v>0.27999999999999936</v>
      </c>
      <c r="AE61" s="137">
        <f t="shared" si="1"/>
        <v>7.1942446043167241E-3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0.93</v>
      </c>
      <c r="P62" s="82">
        <f t="shared" si="5"/>
        <v>22.217700000000001</v>
      </c>
      <c r="W62" s="132">
        <v>42709</v>
      </c>
      <c r="X62" s="10">
        <v>14.88</v>
      </c>
      <c r="Y62" s="10">
        <v>15.49</v>
      </c>
      <c r="Z62" s="10">
        <v>14.87</v>
      </c>
      <c r="AA62" s="10">
        <v>15.29</v>
      </c>
      <c r="AB62" s="94">
        <v>2324000</v>
      </c>
      <c r="AC62" s="10">
        <v>15.29</v>
      </c>
      <c r="AD62" s="2">
        <f t="shared" si="0"/>
        <v>0.62000000000000099</v>
      </c>
      <c r="AE62" s="137">
        <f t="shared" si="1"/>
        <v>2.9629629629629672E-2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O63" s="82">
        <v>0.92</v>
      </c>
      <c r="P63" s="82">
        <f t="shared" si="5"/>
        <v>21.978800000000003</v>
      </c>
      <c r="W63" s="132">
        <v>42706</v>
      </c>
      <c r="X63" s="10">
        <v>14.45</v>
      </c>
      <c r="Y63" s="10">
        <v>15.1</v>
      </c>
      <c r="Z63" s="10">
        <v>14.4</v>
      </c>
      <c r="AA63" s="10">
        <v>14.85</v>
      </c>
      <c r="AB63" s="94">
        <v>2958400</v>
      </c>
      <c r="AC63" s="10">
        <v>14.85</v>
      </c>
      <c r="AD63" s="2">
        <f t="shared" si="0"/>
        <v>0.69999999999999929</v>
      </c>
      <c r="AE63" s="137">
        <f t="shared" si="1"/>
        <v>3.125E-2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21.739900000000002</v>
      </c>
      <c r="W64" s="132">
        <v>42705</v>
      </c>
      <c r="X64" s="10">
        <v>14.94</v>
      </c>
      <c r="Y64" s="10">
        <v>15.13</v>
      </c>
      <c r="Z64" s="10">
        <v>14.34</v>
      </c>
      <c r="AA64" s="10">
        <v>14.4</v>
      </c>
      <c r="AB64" s="94">
        <v>3414000</v>
      </c>
      <c r="AC64" s="10">
        <v>14.4</v>
      </c>
      <c r="AD64" s="2">
        <f t="shared" si="0"/>
        <v>0.79000000000000092</v>
      </c>
      <c r="AE64" s="137">
        <f t="shared" si="1"/>
        <v>-3.0303030303030276E-2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8"/>
      <c r="J65" s="378"/>
      <c r="K65" s="378"/>
      <c r="L65" s="378"/>
      <c r="M65" s="378"/>
      <c r="O65" s="82">
        <v>0.9</v>
      </c>
      <c r="P65" s="82">
        <f t="shared" si="5"/>
        <v>21.501000000000001</v>
      </c>
      <c r="W65" s="132">
        <v>42704</v>
      </c>
      <c r="X65" s="10">
        <v>15.39</v>
      </c>
      <c r="Y65" s="10">
        <v>15.49</v>
      </c>
      <c r="Z65" s="10">
        <v>14.75</v>
      </c>
      <c r="AA65" s="10">
        <v>14.85</v>
      </c>
      <c r="AB65" s="94">
        <v>3447000</v>
      </c>
      <c r="AC65" s="10">
        <v>14.85</v>
      </c>
      <c r="AD65" s="2">
        <f t="shared" si="0"/>
        <v>0.74000000000000021</v>
      </c>
      <c r="AE65" s="137">
        <f t="shared" si="1"/>
        <v>-3.2573289902280145E-2</v>
      </c>
    </row>
    <row r="66" spans="1:31" x14ac:dyDescent="0.25">
      <c r="O66" s="34"/>
      <c r="W66" s="132">
        <v>42703</v>
      </c>
      <c r="X66" s="10">
        <v>15.82</v>
      </c>
      <c r="Y66" s="10">
        <v>15.89</v>
      </c>
      <c r="Z66" s="10">
        <v>15.32</v>
      </c>
      <c r="AA66" s="10">
        <v>15.35</v>
      </c>
      <c r="AB66" s="94">
        <v>4580900</v>
      </c>
      <c r="AC66" s="10">
        <v>15.35</v>
      </c>
      <c r="AD66" s="2">
        <f t="shared" si="0"/>
        <v>0.57000000000000028</v>
      </c>
      <c r="AE66" s="137">
        <f t="shared" si="1"/>
        <v>-2.4777636594663366E-2</v>
      </c>
    </row>
    <row r="67" spans="1:31" x14ac:dyDescent="0.25">
      <c r="W67" s="132">
        <v>42702</v>
      </c>
      <c r="X67" s="10">
        <v>16</v>
      </c>
      <c r="Y67" s="10">
        <v>16.09</v>
      </c>
      <c r="Z67" s="10">
        <v>15.69</v>
      </c>
      <c r="AA67" s="10">
        <v>15.74</v>
      </c>
      <c r="AB67" s="94">
        <v>1932000</v>
      </c>
      <c r="AC67" s="10">
        <v>15.74</v>
      </c>
      <c r="AD67" s="2">
        <f>Y67-Z67</f>
        <v>0.40000000000000036</v>
      </c>
      <c r="AE67" s="137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83" priority="27">
      <formula>F27&gt;0</formula>
    </cfRule>
    <cfRule type="expression" dxfId="382" priority="28">
      <formula>F27&lt;0</formula>
    </cfRule>
  </conditionalFormatting>
  <conditionalFormatting sqref="F29:F33">
    <cfRule type="expression" dxfId="381" priority="23">
      <formula>F29&gt;0</formula>
    </cfRule>
    <cfRule type="expression" dxfId="380" priority="24">
      <formula>F29&lt;0</formula>
    </cfRule>
  </conditionalFormatting>
  <conditionalFormatting sqref="F29:F32">
    <cfRule type="expression" dxfId="379" priority="25">
      <formula>F29&gt;0</formula>
    </cfRule>
    <cfRule type="expression" dxfId="378" priority="26">
      <formula>F29&lt;0</formula>
    </cfRule>
  </conditionalFormatting>
  <conditionalFormatting sqref="H27:H33">
    <cfRule type="expression" dxfId="377" priority="21">
      <formula>H27&gt;0</formula>
    </cfRule>
    <cfRule type="expression" dxfId="376" priority="22">
      <formula>H27&lt;0</formula>
    </cfRule>
  </conditionalFormatting>
  <conditionalFormatting sqref="F34">
    <cfRule type="expression" dxfId="375" priority="19">
      <formula>F34&gt;0</formula>
    </cfRule>
    <cfRule type="expression" dxfId="374" priority="20">
      <formula>F34&lt;0</formula>
    </cfRule>
  </conditionalFormatting>
  <conditionalFormatting sqref="H34">
    <cfRule type="expression" dxfId="373" priority="17">
      <formula>H34&gt;0</formula>
    </cfRule>
    <cfRule type="expression" dxfId="372" priority="18">
      <formula>H34&lt;0</formula>
    </cfRule>
  </conditionalFormatting>
  <conditionalFormatting sqref="F36:F43">
    <cfRule type="expression" dxfId="371" priority="15">
      <formula>F36&gt;0</formula>
    </cfRule>
    <cfRule type="expression" dxfId="370" priority="16">
      <formula>F36&lt;0</formula>
    </cfRule>
  </conditionalFormatting>
  <conditionalFormatting sqref="H36:H43">
    <cfRule type="expression" dxfId="369" priority="13">
      <formula>H36&gt;0</formula>
    </cfRule>
    <cfRule type="expression" dxfId="368" priority="14">
      <formula>H36&lt;0</formula>
    </cfRule>
  </conditionalFormatting>
  <conditionalFormatting sqref="F35">
    <cfRule type="expression" dxfId="367" priority="11">
      <formula>F35&gt;0</formula>
    </cfRule>
    <cfRule type="expression" dxfId="366" priority="12">
      <formula>F35&lt;0</formula>
    </cfRule>
  </conditionalFormatting>
  <conditionalFormatting sqref="H35">
    <cfRule type="expression" dxfId="365" priority="9">
      <formula>H35&gt;0</formula>
    </cfRule>
    <cfRule type="expression" dxfId="364" priority="10">
      <formula>H35&lt;0</formula>
    </cfRule>
  </conditionalFormatting>
  <conditionalFormatting sqref="F22:F26">
    <cfRule type="expression" dxfId="363" priority="7">
      <formula>F22&gt;0</formula>
    </cfRule>
    <cfRule type="expression" dxfId="362" priority="8">
      <formula>F22&lt;0</formula>
    </cfRule>
  </conditionalFormatting>
  <conditionalFormatting sqref="H22:H26">
    <cfRule type="expression" dxfId="361" priority="5">
      <formula>H22&gt;0</formula>
    </cfRule>
    <cfRule type="expression" dxfId="360" priority="6">
      <formula>H22&lt;0</formula>
    </cfRule>
  </conditionalFormatting>
  <conditionalFormatting sqref="Q8">
    <cfRule type="expression" dxfId="359" priority="1">
      <formula>Q8&gt;0</formula>
    </cfRule>
    <cfRule type="expression" dxfId="358" priority="2">
      <formula>Q8&lt;0</formula>
    </cfRule>
  </conditionalFormatting>
  <conditionalFormatting sqref="Q7">
    <cfRule type="expression" dxfId="357" priority="3">
      <formula>Q7&gt;0</formula>
    </cfRule>
    <cfRule type="expression" dxfId="356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K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  <col min="32" max="34" width="9.140625" style="671"/>
    <col min="35" max="35" width="16.5703125" style="671" bestFit="1" customWidth="1"/>
    <col min="36" max="36" width="11.140625" style="671" bestFit="1" customWidth="1"/>
    <col min="37" max="37" width="9.140625" style="671"/>
  </cols>
  <sheetData>
    <row r="1" spans="1:37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F1" s="670"/>
      <c r="AG1" s="671" t="s">
        <v>527</v>
      </c>
      <c r="AH1" s="670"/>
      <c r="AI1" s="671" t="s">
        <v>114</v>
      </c>
      <c r="AJ1" s="671" t="s">
        <v>524</v>
      </c>
      <c r="AK1" s="671" t="s">
        <v>525</v>
      </c>
    </row>
    <row r="2" spans="1:37" x14ac:dyDescent="0.25">
      <c r="A2" s="6" t="s">
        <v>229</v>
      </c>
      <c r="B2" s="501">
        <v>42755</v>
      </c>
      <c r="C2" s="4">
        <v>100</v>
      </c>
      <c r="D2" s="3">
        <v>33.58</v>
      </c>
      <c r="E2" s="3">
        <v>0</v>
      </c>
      <c r="F2" s="3">
        <f>D2*C2+E2</f>
        <v>3358</v>
      </c>
      <c r="G2" s="501"/>
      <c r="H2" s="184"/>
      <c r="I2" s="3"/>
      <c r="J2" s="3"/>
      <c r="K2" s="3"/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247</v>
      </c>
      <c r="W2" s="132">
        <v>42797</v>
      </c>
      <c r="X2" s="10">
        <v>31.47</v>
      </c>
      <c r="Y2" s="10">
        <v>31.53</v>
      </c>
      <c r="Z2" s="10">
        <v>30.84</v>
      </c>
      <c r="AA2" s="10">
        <v>30.95</v>
      </c>
      <c r="AB2" s="94">
        <v>5302300</v>
      </c>
      <c r="AC2" s="10">
        <v>30.95</v>
      </c>
      <c r="AD2" s="2">
        <f>Y2-Z2</f>
        <v>0.69000000000000128</v>
      </c>
      <c r="AE2" s="137">
        <f>AC2/AC3-1</f>
        <v>-1.9328263624841524E-2</v>
      </c>
      <c r="AF2" s="672">
        <f>AJ2/AJ3-1</f>
        <v>2.7654867256637239E-2</v>
      </c>
      <c r="AI2" s="673" t="e">
        <f>_xll.BDH($AG$1,$AJ$1:$AN$1,"10/1/2016","","Dir=V","Dts=S","Sort=D","Quote=C","QtTyp=Y","Days=T","Per=cd","DtFmt=D","UseDPDF=Y","cols=3;rows=100")</f>
        <v>#N/A</v>
      </c>
      <c r="AJ2" s="671">
        <v>232.25</v>
      </c>
      <c r="AK2" s="671">
        <v>0</v>
      </c>
    </row>
    <row r="3" spans="1:37" x14ac:dyDescent="0.25">
      <c r="A3" s="23" t="s">
        <v>71</v>
      </c>
      <c r="B3" s="502">
        <v>42781</v>
      </c>
      <c r="C3" s="4">
        <v>50</v>
      </c>
      <c r="D3" s="3">
        <v>34.65</v>
      </c>
      <c r="E3" s="3">
        <v>0</v>
      </c>
      <c r="F3" s="3">
        <f>D3*C3+E3</f>
        <v>1732.5</v>
      </c>
      <c r="G3" s="501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33.225999999999999</v>
      </c>
      <c r="T3" s="1" t="s">
        <v>248</v>
      </c>
      <c r="W3" s="132">
        <v>42796</v>
      </c>
      <c r="X3" s="10">
        <v>32.15</v>
      </c>
      <c r="Y3" s="10">
        <v>32.299999999999997</v>
      </c>
      <c r="Z3" s="10">
        <v>31.53</v>
      </c>
      <c r="AA3" s="10">
        <v>31.56</v>
      </c>
      <c r="AB3" s="94">
        <v>3998800</v>
      </c>
      <c r="AC3" s="10">
        <v>31.56</v>
      </c>
      <c r="AD3" s="2">
        <f t="shared" ref="AD3:AD66" si="0">Y3-Z3</f>
        <v>0.76999999999999602</v>
      </c>
      <c r="AE3" s="137">
        <f t="shared" ref="AE3:AE66" si="1">AC3/AC4-1</f>
        <v>-1.8351477449455644E-2</v>
      </c>
      <c r="AF3" s="672">
        <f t="shared" ref="AF3:AF66" si="2">AJ3/AJ4-1</f>
        <v>-4.405286343612369E-3</v>
      </c>
      <c r="AI3" s="673">
        <v>42789</v>
      </c>
      <c r="AJ3" s="671">
        <v>226</v>
      </c>
      <c r="AK3" s="671">
        <v>30</v>
      </c>
    </row>
    <row r="4" spans="1:37" x14ac:dyDescent="0.25">
      <c r="B4" s="502">
        <v>42788</v>
      </c>
      <c r="C4" s="4">
        <v>50</v>
      </c>
      <c r="D4" s="3">
        <v>33.24</v>
      </c>
      <c r="E4" s="3">
        <v>0</v>
      </c>
      <c r="F4" s="3">
        <f>D4*C4+E4</f>
        <v>1662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29.42</v>
      </c>
      <c r="R4" s="520">
        <v>2.7000000000000001E-3</v>
      </c>
      <c r="T4" s="162">
        <v>42633</v>
      </c>
      <c r="U4" s="1" t="s">
        <v>283</v>
      </c>
      <c r="W4" s="132">
        <v>42795</v>
      </c>
      <c r="X4" s="10">
        <v>31.99</v>
      </c>
      <c r="Y4" s="10">
        <v>32.270000000000003</v>
      </c>
      <c r="Z4" s="10">
        <v>31.36</v>
      </c>
      <c r="AA4" s="10">
        <v>32.15</v>
      </c>
      <c r="AB4" s="94">
        <v>5653800</v>
      </c>
      <c r="AC4" s="10">
        <v>32.15</v>
      </c>
      <c r="AD4" s="2">
        <f t="shared" si="0"/>
        <v>0.91000000000000369</v>
      </c>
      <c r="AE4" s="137">
        <f t="shared" si="1"/>
        <v>2.3233609166136038E-2</v>
      </c>
      <c r="AF4" s="672">
        <f>AJ4/AJ5-1</f>
        <v>-3.6093418259023347E-2</v>
      </c>
      <c r="AI4" s="673">
        <v>42788</v>
      </c>
      <c r="AJ4" s="671">
        <v>227</v>
      </c>
      <c r="AK4" s="671">
        <v>15</v>
      </c>
    </row>
    <row r="5" spans="1:37" x14ac:dyDescent="0.25">
      <c r="B5" s="502">
        <v>42789</v>
      </c>
      <c r="C5" s="4">
        <v>50</v>
      </c>
      <c r="D5" s="3">
        <v>31.68</v>
      </c>
      <c r="E5" s="3">
        <v>0</v>
      </c>
      <c r="F5" s="3">
        <f>D5*C5+E5</f>
        <v>1584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7355</v>
      </c>
      <c r="W5" s="132">
        <v>42794</v>
      </c>
      <c r="X5" s="10">
        <v>31.15</v>
      </c>
      <c r="Y5" s="10">
        <v>32.14</v>
      </c>
      <c r="Z5" s="10">
        <v>31.02</v>
      </c>
      <c r="AA5" s="10">
        <v>31.42</v>
      </c>
      <c r="AB5" s="94">
        <v>5621900</v>
      </c>
      <c r="AC5" s="10">
        <v>31.42</v>
      </c>
      <c r="AD5" s="2">
        <f t="shared" si="0"/>
        <v>1.120000000000001</v>
      </c>
      <c r="AE5" s="137">
        <f t="shared" si="1"/>
        <v>-2.2229279136232183E-3</v>
      </c>
      <c r="AF5" s="672">
        <f t="shared" si="2"/>
        <v>-3.1746031746031633E-3</v>
      </c>
      <c r="AI5" s="673">
        <v>42787</v>
      </c>
      <c r="AJ5" s="671">
        <v>235.5</v>
      </c>
      <c r="AK5" s="671">
        <v>60</v>
      </c>
    </row>
    <row r="6" spans="1:37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8306.5</v>
      </c>
      <c r="T6" t="s">
        <v>354</v>
      </c>
      <c r="U6" t="s">
        <v>531</v>
      </c>
      <c r="W6" s="132">
        <v>42793</v>
      </c>
      <c r="X6" s="10">
        <v>31.1</v>
      </c>
      <c r="Y6" s="10">
        <v>31.54</v>
      </c>
      <c r="Z6" s="10">
        <v>30.92</v>
      </c>
      <c r="AA6" s="10">
        <v>31.49</v>
      </c>
      <c r="AB6" s="94">
        <v>3871600</v>
      </c>
      <c r="AC6" s="10">
        <v>31.49</v>
      </c>
      <c r="AD6" s="2">
        <f t="shared" si="0"/>
        <v>0.61999999999999744</v>
      </c>
      <c r="AE6" s="137">
        <f t="shared" si="1"/>
        <v>1.0914927768860272E-2</v>
      </c>
      <c r="AF6" s="672">
        <f t="shared" si="2"/>
        <v>3.1847133757962887E-3</v>
      </c>
      <c r="AI6" s="673">
        <v>42783</v>
      </c>
      <c r="AJ6" s="671">
        <v>236.25</v>
      </c>
      <c r="AK6" s="671">
        <v>15</v>
      </c>
    </row>
    <row r="7" spans="1:37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2358.9699999999957</v>
      </c>
      <c r="R7">
        <v>100</v>
      </c>
      <c r="T7" t="s">
        <v>530</v>
      </c>
      <c r="W7" s="132">
        <v>42790</v>
      </c>
      <c r="X7" s="10">
        <v>31.42</v>
      </c>
      <c r="Y7" s="10">
        <v>31.51</v>
      </c>
      <c r="Z7" s="10">
        <v>30.58</v>
      </c>
      <c r="AA7" s="10">
        <v>31.15</v>
      </c>
      <c r="AB7" s="94">
        <v>5693300</v>
      </c>
      <c r="AC7" s="10">
        <v>31.15</v>
      </c>
      <c r="AD7" s="2">
        <f t="shared" si="0"/>
        <v>0.93000000000000327</v>
      </c>
      <c r="AE7" s="137">
        <f t="shared" si="1"/>
        <v>-2.1055939660590828E-2</v>
      </c>
      <c r="AF7" s="672">
        <f t="shared" si="2"/>
        <v>-1.3612565445026203E-2</v>
      </c>
      <c r="AI7" s="673">
        <v>42782</v>
      </c>
      <c r="AJ7" s="671">
        <v>235.5</v>
      </c>
      <c r="AK7" s="671" t="s">
        <v>526</v>
      </c>
    </row>
    <row r="8" spans="1:37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-951.5</v>
      </c>
      <c r="T8" t="s">
        <v>532</v>
      </c>
      <c r="W8" s="132">
        <v>42789</v>
      </c>
      <c r="X8" s="10">
        <v>33.24</v>
      </c>
      <c r="Y8" s="10">
        <v>33.26</v>
      </c>
      <c r="Z8" s="10">
        <v>31.08</v>
      </c>
      <c r="AA8" s="10">
        <v>31.82</v>
      </c>
      <c r="AB8" s="94">
        <v>7986100</v>
      </c>
      <c r="AC8" s="10">
        <v>31.82</v>
      </c>
      <c r="AD8" s="2">
        <f t="shared" si="0"/>
        <v>2.1799999999999997</v>
      </c>
      <c r="AE8" s="137">
        <f t="shared" si="1"/>
        <v>-4.2143287176399702E-2</v>
      </c>
      <c r="AF8" s="672">
        <f t="shared" si="2"/>
        <v>-1.3429752066115741E-2</v>
      </c>
      <c r="AI8" s="673">
        <v>42781</v>
      </c>
      <c r="AJ8" s="671">
        <v>238.75</v>
      </c>
      <c r="AK8" s="671" t="s">
        <v>526</v>
      </c>
    </row>
    <row r="9" spans="1:37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-0.11454884728826822</v>
      </c>
      <c r="W9" s="132">
        <v>42788</v>
      </c>
      <c r="X9" s="10">
        <v>33.76</v>
      </c>
      <c r="Y9" s="10">
        <v>33.979999999999997</v>
      </c>
      <c r="Z9" s="10">
        <v>33.19</v>
      </c>
      <c r="AA9" s="10">
        <v>33.22</v>
      </c>
      <c r="AB9" s="94">
        <v>3057400</v>
      </c>
      <c r="AC9" s="10">
        <v>33.22</v>
      </c>
      <c r="AD9" s="2">
        <f t="shared" si="0"/>
        <v>0.78999999999999915</v>
      </c>
      <c r="AE9" s="137">
        <f t="shared" si="1"/>
        <v>-2.0925434718538138E-2</v>
      </c>
      <c r="AF9" s="672">
        <f t="shared" si="2"/>
        <v>-4.1152263374485409E-3</v>
      </c>
      <c r="AI9" s="673">
        <v>42780</v>
      </c>
      <c r="AJ9" s="671">
        <v>242</v>
      </c>
      <c r="AK9" s="671">
        <v>15</v>
      </c>
    </row>
    <row r="10" spans="1:37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f>M113 + M135</f>
        <v>3310.4699999999957</v>
      </c>
      <c r="W10" s="132">
        <v>42787</v>
      </c>
      <c r="X10" s="10">
        <v>34.18</v>
      </c>
      <c r="Y10" s="10">
        <v>34.54</v>
      </c>
      <c r="Z10" s="10">
        <v>33.44</v>
      </c>
      <c r="AA10" s="10">
        <v>33.93</v>
      </c>
      <c r="AB10" s="94">
        <v>5129300</v>
      </c>
      <c r="AC10" s="10">
        <v>33.93</v>
      </c>
      <c r="AD10" s="2">
        <f t="shared" si="0"/>
        <v>1.1000000000000014</v>
      </c>
      <c r="AE10" s="137">
        <f t="shared" si="1"/>
        <v>-5.2770448548812299E-3</v>
      </c>
      <c r="AF10" s="672">
        <f t="shared" si="2"/>
        <v>-2.8000000000000025E-2</v>
      </c>
      <c r="AI10" s="673">
        <v>42779</v>
      </c>
      <c r="AJ10" s="671">
        <v>243</v>
      </c>
      <c r="AK10" s="671">
        <v>30</v>
      </c>
    </row>
    <row r="11" spans="1:37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IF(U71="N/A (N/A)", 0, VALUE(TRIM(CLEAN(MID(U71, FIND("(", U71)+1, 5)))))</f>
        <v>3.7999999999999999E-2</v>
      </c>
      <c r="W11" s="132">
        <v>42783</v>
      </c>
      <c r="X11" s="10">
        <v>33.51</v>
      </c>
      <c r="Y11" s="10">
        <v>34.15</v>
      </c>
      <c r="Z11" s="10">
        <v>33.31</v>
      </c>
      <c r="AA11" s="10">
        <v>34.11</v>
      </c>
      <c r="AB11" s="94">
        <v>6667800</v>
      </c>
      <c r="AC11" s="10">
        <v>34.11</v>
      </c>
      <c r="AD11" s="2">
        <f t="shared" si="0"/>
        <v>0.83999999999999631</v>
      </c>
      <c r="AE11" s="137">
        <f t="shared" si="1"/>
        <v>1.7601431980906801E-2</v>
      </c>
      <c r="AF11" s="672">
        <f t="shared" si="2"/>
        <v>-1.9607843137254943E-2</v>
      </c>
      <c r="AI11" s="673">
        <v>42776</v>
      </c>
      <c r="AJ11" s="671">
        <v>250</v>
      </c>
      <c r="AK11" s="671">
        <v>30</v>
      </c>
    </row>
    <row r="12" spans="1:37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42782</v>
      </c>
      <c r="X12" s="10">
        <v>33.68</v>
      </c>
      <c r="Y12" s="10">
        <v>35.71</v>
      </c>
      <c r="Z12" s="10">
        <v>33.380000000000003</v>
      </c>
      <c r="AA12" s="10">
        <v>33.520000000000003</v>
      </c>
      <c r="AB12" s="94">
        <v>10592700</v>
      </c>
      <c r="AC12" s="10">
        <v>33.520000000000003</v>
      </c>
      <c r="AD12" s="2">
        <f t="shared" si="0"/>
        <v>2.3299999999999983</v>
      </c>
      <c r="AE12" s="137">
        <f t="shared" si="1"/>
        <v>-2.8124093940272488E-2</v>
      </c>
      <c r="AF12" s="672">
        <f t="shared" si="2"/>
        <v>-9.7943192948091173E-4</v>
      </c>
      <c r="AI12" s="673">
        <v>42775</v>
      </c>
      <c r="AJ12" s="671">
        <v>255</v>
      </c>
      <c r="AK12" s="671">
        <v>15</v>
      </c>
    </row>
    <row r="13" spans="1:37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42781</v>
      </c>
      <c r="X13" s="10">
        <v>36.200000000000003</v>
      </c>
      <c r="Y13" s="10">
        <v>36.26</v>
      </c>
      <c r="Z13" s="10">
        <v>34.32</v>
      </c>
      <c r="AA13" s="10">
        <v>34.49</v>
      </c>
      <c r="AB13" s="94">
        <v>9192100</v>
      </c>
      <c r="AC13" s="10">
        <v>34.49</v>
      </c>
      <c r="AD13" s="2">
        <f t="shared" si="0"/>
        <v>1.9399999999999977</v>
      </c>
      <c r="AE13" s="137" t="e">
        <f t="shared" si="1"/>
        <v>#DIV/0!</v>
      </c>
      <c r="AF13" s="672">
        <f t="shared" si="2"/>
        <v>0</v>
      </c>
      <c r="AI13" s="673">
        <v>42774</v>
      </c>
      <c r="AJ13" s="671">
        <v>255.25</v>
      </c>
      <c r="AK13" s="671" t="s">
        <v>526</v>
      </c>
    </row>
    <row r="14" spans="1:37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42781</v>
      </c>
      <c r="X14" s="10" t="s">
        <v>384</v>
      </c>
      <c r="Y14" s="10"/>
      <c r="Z14" s="10"/>
      <c r="AA14" s="10"/>
      <c r="AB14" s="94"/>
      <c r="AC14" s="10"/>
      <c r="AD14" s="2">
        <f t="shared" si="0"/>
        <v>0</v>
      </c>
      <c r="AE14" s="137">
        <f t="shared" si="1"/>
        <v>-1</v>
      </c>
      <c r="AF14" s="672">
        <f t="shared" si="2"/>
        <v>-1.9550342130987275E-3</v>
      </c>
      <c r="AI14" s="673">
        <v>42773</v>
      </c>
      <c r="AJ14" s="671">
        <v>255.25</v>
      </c>
      <c r="AK14" s="671" t="s">
        <v>526</v>
      </c>
    </row>
    <row r="15" spans="1:37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42780</v>
      </c>
      <c r="X15" s="10">
        <v>36.479999999999997</v>
      </c>
      <c r="Y15" s="10">
        <v>36.57</v>
      </c>
      <c r="Z15" s="10">
        <v>35.78</v>
      </c>
      <c r="AA15" s="10">
        <v>36.32</v>
      </c>
      <c r="AB15" s="94">
        <v>7961300</v>
      </c>
      <c r="AC15" s="10">
        <v>36.020000000000003</v>
      </c>
      <c r="AD15" s="2">
        <f t="shared" si="0"/>
        <v>0.78999999999999915</v>
      </c>
      <c r="AE15" s="137">
        <f t="shared" si="1"/>
        <v>-1.0711343037626886E-2</v>
      </c>
      <c r="AF15" s="672">
        <f t="shared" si="2"/>
        <v>0</v>
      </c>
      <c r="AI15" s="673">
        <v>42772</v>
      </c>
      <c r="AJ15" s="671">
        <v>255.75</v>
      </c>
      <c r="AK15" s="671" t="s">
        <v>526</v>
      </c>
    </row>
    <row r="16" spans="1:37" x14ac:dyDescent="0.25">
      <c r="G16" s="30"/>
      <c r="H16" s="71"/>
      <c r="W16" s="132">
        <v>42779</v>
      </c>
      <c r="X16" s="10">
        <v>36.08</v>
      </c>
      <c r="Y16" s="10">
        <v>37.1</v>
      </c>
      <c r="Z16" s="10">
        <v>36.020000000000003</v>
      </c>
      <c r="AA16" s="10">
        <v>36.71</v>
      </c>
      <c r="AB16" s="94">
        <v>6424300</v>
      </c>
      <c r="AC16" s="10">
        <v>36.409999999999997</v>
      </c>
      <c r="AD16" s="2">
        <f t="shared" si="0"/>
        <v>1.0799999999999983</v>
      </c>
      <c r="AE16" s="137">
        <f t="shared" si="1"/>
        <v>2.4479459763646627E-2</v>
      </c>
      <c r="AF16" s="672">
        <f t="shared" si="2"/>
        <v>6.8897637795275468E-3</v>
      </c>
      <c r="AI16" s="673">
        <v>42769</v>
      </c>
      <c r="AJ16" s="671">
        <v>255.75</v>
      </c>
      <c r="AK16" s="671" t="s">
        <v>526</v>
      </c>
    </row>
    <row r="17" spans="1:37" x14ac:dyDescent="0.25">
      <c r="G17" s="30"/>
      <c r="W17" s="132">
        <v>42776</v>
      </c>
      <c r="X17" s="10">
        <v>34.75</v>
      </c>
      <c r="Y17" s="10">
        <v>35.9</v>
      </c>
      <c r="Z17" s="10">
        <v>34.58</v>
      </c>
      <c r="AA17" s="10">
        <v>35.840000000000003</v>
      </c>
      <c r="AB17" s="94">
        <v>4172300</v>
      </c>
      <c r="AC17" s="10">
        <v>35.54</v>
      </c>
      <c r="AD17" s="2">
        <f t="shared" si="0"/>
        <v>1.3200000000000003</v>
      </c>
      <c r="AE17" s="137">
        <f t="shared" si="1"/>
        <v>3.8877521192633768E-2</v>
      </c>
      <c r="AF17" s="672">
        <f t="shared" si="2"/>
        <v>-9.8328416912485395E-4</v>
      </c>
      <c r="AI17" s="673">
        <v>42768</v>
      </c>
      <c r="AJ17" s="671">
        <v>254</v>
      </c>
      <c r="AK17" s="671">
        <v>15</v>
      </c>
    </row>
    <row r="18" spans="1:37" x14ac:dyDescent="0.25">
      <c r="A18" s="32" t="s">
        <v>81</v>
      </c>
      <c r="B18" s="503"/>
      <c r="C18" s="14">
        <f>SUM(C2:C14)</f>
        <v>250</v>
      </c>
      <c r="D18" s="18"/>
      <c r="E18" s="18"/>
      <c r="F18" s="18">
        <f>SUM(F2:F14)</f>
        <v>8336.5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30</v>
      </c>
      <c r="W18" s="132">
        <v>42775</v>
      </c>
      <c r="X18" s="10">
        <v>34.9</v>
      </c>
      <c r="Y18" s="10">
        <v>35.01</v>
      </c>
      <c r="Z18" s="10">
        <v>34.450000000000003</v>
      </c>
      <c r="AA18" s="10">
        <v>34.49</v>
      </c>
      <c r="AB18" s="94">
        <v>3718800</v>
      </c>
      <c r="AC18" s="10">
        <v>34.21</v>
      </c>
      <c r="AD18" s="2">
        <f t="shared" si="0"/>
        <v>0.55999999999999517</v>
      </c>
      <c r="AE18" s="137">
        <f t="shared" si="1"/>
        <v>-1.2698412698412653E-2</v>
      </c>
      <c r="AF18" s="672">
        <f t="shared" si="2"/>
        <v>-7.8048780487804947E-3</v>
      </c>
      <c r="AI18" s="673">
        <v>42767</v>
      </c>
      <c r="AJ18" s="671">
        <v>254.25</v>
      </c>
      <c r="AK18" s="671">
        <v>30</v>
      </c>
    </row>
    <row r="19" spans="1:37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30</v>
      </c>
      <c r="W19" s="132">
        <v>42774</v>
      </c>
      <c r="X19" s="10">
        <v>34.9</v>
      </c>
      <c r="Y19" s="10">
        <v>35.17</v>
      </c>
      <c r="Z19" s="10">
        <v>34.409999999999997</v>
      </c>
      <c r="AA19" s="10">
        <v>34.94</v>
      </c>
      <c r="AB19" s="94">
        <v>3068300</v>
      </c>
      <c r="AC19" s="10">
        <v>34.65</v>
      </c>
      <c r="AD19" s="2">
        <f t="shared" si="0"/>
        <v>0.76000000000000512</v>
      </c>
      <c r="AE19" s="137">
        <f t="shared" si="1"/>
        <v>1.4450867052022698E-3</v>
      </c>
      <c r="AF19" s="672">
        <f t="shared" si="2"/>
        <v>-5.8195926285160571E-3</v>
      </c>
      <c r="AI19" s="673">
        <v>42766</v>
      </c>
      <c r="AJ19" s="671">
        <v>256.25</v>
      </c>
      <c r="AK19" s="671">
        <v>75</v>
      </c>
    </row>
    <row r="20" spans="1:37" x14ac:dyDescent="0.25">
      <c r="W20" s="132">
        <v>42773</v>
      </c>
      <c r="X20" s="10">
        <v>35.049999999999997</v>
      </c>
      <c r="Y20" s="10">
        <v>35.56</v>
      </c>
      <c r="Z20" s="10">
        <v>34.35</v>
      </c>
      <c r="AA20" s="10">
        <v>34.89</v>
      </c>
      <c r="AB20" s="94">
        <v>4909000</v>
      </c>
      <c r="AC20" s="10">
        <v>34.6</v>
      </c>
      <c r="AD20" s="2">
        <f t="shared" si="0"/>
        <v>1.2100000000000009</v>
      </c>
      <c r="AE20" s="137">
        <f t="shared" si="1"/>
        <v>-1.7045454545454586E-2</v>
      </c>
      <c r="AF20" s="672">
        <f t="shared" si="2"/>
        <v>-9.6899224806201723E-4</v>
      </c>
      <c r="AI20" s="673">
        <v>42765</v>
      </c>
      <c r="AJ20" s="671">
        <v>257.75</v>
      </c>
      <c r="AK20" s="671" t="s">
        <v>526</v>
      </c>
    </row>
    <row r="21" spans="1:37" x14ac:dyDescent="0.25">
      <c r="W21" s="132">
        <v>42772</v>
      </c>
      <c r="X21" s="10">
        <v>35.700000000000003</v>
      </c>
      <c r="Y21" s="10">
        <v>35.75</v>
      </c>
      <c r="Z21" s="10">
        <v>34.770000000000003</v>
      </c>
      <c r="AA21" s="10">
        <v>35.49</v>
      </c>
      <c r="AB21" s="94">
        <v>3882500</v>
      </c>
      <c r="AC21" s="10">
        <v>35.200000000000003</v>
      </c>
      <c r="AD21" s="2">
        <f t="shared" si="0"/>
        <v>0.97999999999999687</v>
      </c>
      <c r="AE21" s="137">
        <f t="shared" si="1"/>
        <v>-5.3687482339643822E-3</v>
      </c>
      <c r="AF21" s="672">
        <f t="shared" si="2"/>
        <v>7.8125E-3</v>
      </c>
      <c r="AI21" s="673">
        <v>42762</v>
      </c>
      <c r="AJ21" s="671">
        <v>258</v>
      </c>
      <c r="AK21" s="671">
        <v>30</v>
      </c>
    </row>
    <row r="22" spans="1:37" x14ac:dyDescent="0.25">
      <c r="W22" s="132">
        <v>42769</v>
      </c>
      <c r="X22" s="10">
        <v>35.79</v>
      </c>
      <c r="Y22" s="10">
        <v>36.14</v>
      </c>
      <c r="Z22" s="10">
        <v>35.54</v>
      </c>
      <c r="AA22" s="10">
        <v>35.68</v>
      </c>
      <c r="AB22" s="94">
        <v>3189400</v>
      </c>
      <c r="AC22" s="10">
        <v>35.39</v>
      </c>
      <c r="AD22" s="2">
        <f t="shared" si="0"/>
        <v>0.60000000000000142</v>
      </c>
      <c r="AE22" s="137">
        <f t="shared" si="1"/>
        <v>1.4148273910581377E-3</v>
      </c>
      <c r="AF22" s="672">
        <f t="shared" si="2"/>
        <v>-9.7560975609756184E-4</v>
      </c>
      <c r="AI22" s="673">
        <v>42761</v>
      </c>
      <c r="AJ22" s="671">
        <v>256</v>
      </c>
      <c r="AK22" s="671" t="s">
        <v>526</v>
      </c>
    </row>
    <row r="23" spans="1:37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42768</v>
      </c>
      <c r="X23" s="10">
        <v>36.409999999999997</v>
      </c>
      <c r="Y23" s="10">
        <v>36.409999999999997</v>
      </c>
      <c r="Z23" s="10">
        <v>35.32</v>
      </c>
      <c r="AA23" s="10">
        <v>35.630000000000003</v>
      </c>
      <c r="AB23" s="94">
        <v>3911000</v>
      </c>
      <c r="AC23" s="10">
        <v>35.340000000000003</v>
      </c>
      <c r="AD23" s="2">
        <f t="shared" si="0"/>
        <v>1.0899999999999963</v>
      </c>
      <c r="AE23" s="137">
        <f t="shared" si="1"/>
        <v>-2.7250206440957769E-2</v>
      </c>
      <c r="AF23" s="672">
        <f t="shared" si="2"/>
        <v>1.9550342130987275E-3</v>
      </c>
      <c r="AI23" s="673">
        <v>42760</v>
      </c>
      <c r="AJ23" s="671">
        <v>256.25</v>
      </c>
      <c r="AK23" s="671" t="s">
        <v>526</v>
      </c>
    </row>
    <row r="24" spans="1:37" x14ac:dyDescent="0.25">
      <c r="B24" s="577">
        <v>42716</v>
      </c>
      <c r="C24" s="260">
        <v>200</v>
      </c>
      <c r="D24" s="261">
        <v>29.285</v>
      </c>
      <c r="E24" s="261">
        <v>29</v>
      </c>
      <c r="F24" s="261">
        <f t="shared" ref="F24:F31" si="3">C24*(E24-D24)</f>
        <v>-57.000000000000028</v>
      </c>
      <c r="G24" s="261">
        <f t="shared" ref="G24:G31" si="4">D24*C24</f>
        <v>5857</v>
      </c>
      <c r="H24" s="275">
        <f t="shared" ref="H24:H31" si="5">(E24-D24)/D24</f>
        <v>-9.7319446815776044E-3</v>
      </c>
      <c r="I24" s="261"/>
      <c r="W24" s="132">
        <v>42767</v>
      </c>
      <c r="X24" s="10">
        <v>35.340000000000003</v>
      </c>
      <c r="Y24" s="10">
        <v>36.69</v>
      </c>
      <c r="Z24" s="10">
        <v>35.26</v>
      </c>
      <c r="AA24" s="10">
        <v>36.630000000000003</v>
      </c>
      <c r="AB24" s="94">
        <v>4594800</v>
      </c>
      <c r="AC24" s="10">
        <v>36.33</v>
      </c>
      <c r="AD24" s="2">
        <f t="shared" si="0"/>
        <v>1.4299999999999997</v>
      </c>
      <c r="AE24" s="137">
        <f t="shared" si="1"/>
        <v>3.8000000000000034E-2</v>
      </c>
      <c r="AF24" s="672">
        <f t="shared" si="2"/>
        <v>0</v>
      </c>
      <c r="AI24" s="673">
        <v>42759</v>
      </c>
      <c r="AJ24" s="671">
        <v>255.75</v>
      </c>
      <c r="AK24" s="671" t="s">
        <v>526</v>
      </c>
    </row>
    <row r="25" spans="1:37" x14ac:dyDescent="0.25">
      <c r="B25" s="577">
        <v>42720</v>
      </c>
      <c r="C25" s="260">
        <v>100</v>
      </c>
      <c r="D25" s="261">
        <v>29.210599999999999</v>
      </c>
      <c r="E25" s="261">
        <v>29.48</v>
      </c>
      <c r="F25" s="261">
        <f t="shared" si="3"/>
        <v>26.940000000000097</v>
      </c>
      <c r="G25" s="261">
        <f t="shared" si="4"/>
        <v>2921.06</v>
      </c>
      <c r="H25" s="275">
        <f t="shared" si="5"/>
        <v>9.2226794382861358E-3</v>
      </c>
      <c r="I25" s="261"/>
      <c r="W25" s="132">
        <v>42766</v>
      </c>
      <c r="X25" s="10">
        <v>35.74</v>
      </c>
      <c r="Y25" s="10">
        <v>36.1</v>
      </c>
      <c r="Z25" s="10">
        <v>35.159999999999997</v>
      </c>
      <c r="AA25" s="10">
        <v>35.29</v>
      </c>
      <c r="AB25" s="94">
        <v>4355300</v>
      </c>
      <c r="AC25" s="10">
        <v>35</v>
      </c>
      <c r="AD25" s="2">
        <f t="shared" si="0"/>
        <v>0.94000000000000483</v>
      </c>
      <c r="AE25" s="137">
        <f t="shared" si="1"/>
        <v>-2.8490028490029129E-3</v>
      </c>
      <c r="AF25" s="672">
        <f t="shared" si="2"/>
        <v>-1.6346153846153899E-2</v>
      </c>
      <c r="AI25" s="673">
        <v>42758</v>
      </c>
      <c r="AJ25" s="671">
        <v>255.75</v>
      </c>
      <c r="AK25" s="671" t="s">
        <v>526</v>
      </c>
    </row>
    <row r="26" spans="1:37" x14ac:dyDescent="0.25">
      <c r="B26" s="577">
        <v>42723</v>
      </c>
      <c r="C26" s="260">
        <v>200</v>
      </c>
      <c r="D26" s="261">
        <v>28.7453</v>
      </c>
      <c r="E26" s="261">
        <v>28.29</v>
      </c>
      <c r="F26" s="261">
        <f t="shared" si="3"/>
        <v>-91.06000000000023</v>
      </c>
      <c r="G26" s="261">
        <f t="shared" si="4"/>
        <v>5749.06</v>
      </c>
      <c r="H26" s="275">
        <f t="shared" si="5"/>
        <v>-1.5839111089465101E-2</v>
      </c>
      <c r="I26" s="261"/>
      <c r="W26" s="132">
        <v>42765</v>
      </c>
      <c r="X26" s="10">
        <v>36.28</v>
      </c>
      <c r="Y26" s="10">
        <v>36.28</v>
      </c>
      <c r="Z26" s="10">
        <v>35.119999999999997</v>
      </c>
      <c r="AA26" s="10">
        <v>35.39</v>
      </c>
      <c r="AB26" s="94">
        <v>4156200</v>
      </c>
      <c r="AC26" s="10">
        <v>35.1</v>
      </c>
      <c r="AD26" s="2">
        <f t="shared" si="0"/>
        <v>1.1600000000000037</v>
      </c>
      <c r="AE26" s="137">
        <f t="shared" si="1"/>
        <v>-3.0654515327257603E-2</v>
      </c>
      <c r="AF26" s="672">
        <f t="shared" si="2"/>
        <v>-4.784688995215336E-3</v>
      </c>
      <c r="AI26" s="673">
        <v>42755</v>
      </c>
      <c r="AJ26" s="671">
        <v>260</v>
      </c>
      <c r="AK26" s="671">
        <v>45</v>
      </c>
    </row>
    <row r="27" spans="1:37" x14ac:dyDescent="0.25">
      <c r="B27" s="577">
        <v>42724</v>
      </c>
      <c r="C27" s="260">
        <v>100</v>
      </c>
      <c r="D27" s="261">
        <v>28.511199999999999</v>
      </c>
      <c r="E27" s="261">
        <v>28.76</v>
      </c>
      <c r="F27" s="261">
        <f t="shared" si="3"/>
        <v>24.88000000000028</v>
      </c>
      <c r="G27" s="261">
        <f t="shared" si="4"/>
        <v>2851.12</v>
      </c>
      <c r="H27" s="275">
        <f t="shared" si="5"/>
        <v>8.7263952411684807E-3</v>
      </c>
      <c r="I27" s="261"/>
      <c r="W27" s="132">
        <v>42762</v>
      </c>
      <c r="X27" s="10">
        <v>36.47</v>
      </c>
      <c r="Y27" s="10">
        <v>36.799999999999997</v>
      </c>
      <c r="Z27" s="10">
        <v>35.79</v>
      </c>
      <c r="AA27" s="10">
        <v>36.51</v>
      </c>
      <c r="AB27" s="94">
        <v>4210200</v>
      </c>
      <c r="AC27" s="10">
        <v>36.21</v>
      </c>
      <c r="AD27" s="2">
        <f t="shared" si="0"/>
        <v>1.009999999999998</v>
      </c>
      <c r="AE27" s="137">
        <f t="shared" si="1"/>
        <v>8.3542188805347806E-3</v>
      </c>
      <c r="AF27" s="672">
        <f t="shared" si="2"/>
        <v>4.8076923076922906E-3</v>
      </c>
      <c r="AI27" s="673">
        <v>42754</v>
      </c>
      <c r="AJ27" s="671">
        <v>261.25</v>
      </c>
      <c r="AK27" s="671" t="s">
        <v>526</v>
      </c>
    </row>
    <row r="28" spans="1:37" x14ac:dyDescent="0.25">
      <c r="B28" s="577">
        <v>42731</v>
      </c>
      <c r="C28" s="260">
        <v>100</v>
      </c>
      <c r="D28" s="261">
        <v>28.511199999999999</v>
      </c>
      <c r="E28" s="261">
        <v>31.95</v>
      </c>
      <c r="F28" s="261">
        <f t="shared" si="3"/>
        <v>343.88000000000005</v>
      </c>
      <c r="G28" s="261">
        <f t="shared" si="4"/>
        <v>2851.12</v>
      </c>
      <c r="H28" s="275">
        <f t="shared" si="5"/>
        <v>0.12061225062431608</v>
      </c>
      <c r="I28" s="261"/>
      <c r="W28" s="132">
        <v>42761</v>
      </c>
      <c r="X28" s="10">
        <v>34.81</v>
      </c>
      <c r="Y28" s="10">
        <v>36.479999999999997</v>
      </c>
      <c r="Z28" s="10">
        <v>34.5</v>
      </c>
      <c r="AA28" s="10">
        <v>36.21</v>
      </c>
      <c r="AB28" s="94">
        <v>6072700</v>
      </c>
      <c r="AC28" s="10">
        <v>35.909999999999997</v>
      </c>
      <c r="AD28" s="2">
        <f t="shared" si="0"/>
        <v>1.9799999999999969</v>
      </c>
      <c r="AE28" s="137">
        <f t="shared" si="1"/>
        <v>-9.1059602649008475E-3</v>
      </c>
      <c r="AF28" s="672">
        <f t="shared" si="2"/>
        <v>-1.9792648444863281E-2</v>
      </c>
      <c r="AI28" s="673">
        <v>42753</v>
      </c>
      <c r="AJ28" s="671">
        <v>260</v>
      </c>
      <c r="AK28" s="671">
        <v>30</v>
      </c>
    </row>
    <row r="29" spans="1:37" x14ac:dyDescent="0.25">
      <c r="B29" s="577">
        <v>42739</v>
      </c>
      <c r="C29" s="260">
        <v>100</v>
      </c>
      <c r="D29" s="261">
        <v>28.511199999999999</v>
      </c>
      <c r="E29" s="261">
        <v>33.04</v>
      </c>
      <c r="F29" s="261">
        <f t="shared" si="3"/>
        <v>452.88000000000005</v>
      </c>
      <c r="G29" s="261">
        <f t="shared" si="4"/>
        <v>2851.12</v>
      </c>
      <c r="H29" s="275">
        <f t="shared" si="5"/>
        <v>0.15884284070821295</v>
      </c>
      <c r="I29" s="261"/>
      <c r="W29" s="132">
        <v>42760</v>
      </c>
      <c r="X29" s="10">
        <v>37.11</v>
      </c>
      <c r="Y29" s="10">
        <v>37.17</v>
      </c>
      <c r="Z29" s="10">
        <v>36.020000000000003</v>
      </c>
      <c r="AA29" s="10">
        <v>36.54</v>
      </c>
      <c r="AB29" s="94">
        <v>4964000</v>
      </c>
      <c r="AC29" s="10">
        <v>36.24</v>
      </c>
      <c r="AD29" s="2">
        <f t="shared" si="0"/>
        <v>1.1499999999999986</v>
      </c>
      <c r="AE29" s="137">
        <f t="shared" si="1"/>
        <v>-8.4815321477427208E-3</v>
      </c>
      <c r="AF29" s="672">
        <f t="shared" si="2"/>
        <v>-7.4836295603367686E-3</v>
      </c>
      <c r="AI29" s="673">
        <v>42752</v>
      </c>
      <c r="AJ29" s="671">
        <v>265.25</v>
      </c>
      <c r="AK29" s="671">
        <v>75</v>
      </c>
    </row>
    <row r="30" spans="1:37" x14ac:dyDescent="0.25">
      <c r="B30" s="577">
        <v>42744</v>
      </c>
      <c r="C30" s="260">
        <v>100</v>
      </c>
      <c r="D30" s="261">
        <v>28.511199999999999</v>
      </c>
      <c r="E30" s="261">
        <v>33.770000000000003</v>
      </c>
      <c r="F30" s="261">
        <f t="shared" si="3"/>
        <v>525.88000000000045</v>
      </c>
      <c r="G30" s="261">
        <f t="shared" si="4"/>
        <v>2851.12</v>
      </c>
      <c r="H30" s="275">
        <f t="shared" si="5"/>
        <v>0.18444681388366693</v>
      </c>
      <c r="I30" s="261"/>
      <c r="W30" s="132">
        <v>42759</v>
      </c>
      <c r="X30" s="10">
        <v>35.630000000000003</v>
      </c>
      <c r="Y30" s="10">
        <v>37.130000000000003</v>
      </c>
      <c r="Z30" s="10">
        <v>35.56</v>
      </c>
      <c r="AA30" s="10">
        <v>36.85</v>
      </c>
      <c r="AB30" s="94">
        <v>10489100</v>
      </c>
      <c r="AC30" s="10">
        <v>36.549999999999997</v>
      </c>
      <c r="AD30" s="2">
        <f t="shared" si="0"/>
        <v>1.5700000000000003</v>
      </c>
      <c r="AE30" s="137">
        <f t="shared" si="1"/>
        <v>4.5480549199084619E-2</v>
      </c>
      <c r="AF30" s="672">
        <f t="shared" si="2"/>
        <v>1.8744142455482393E-3</v>
      </c>
      <c r="AI30" s="673">
        <v>42748</v>
      </c>
      <c r="AJ30" s="671">
        <v>267.25</v>
      </c>
      <c r="AK30" s="671">
        <v>45</v>
      </c>
    </row>
    <row r="31" spans="1:37" x14ac:dyDescent="0.25">
      <c r="B31" s="577">
        <v>42745</v>
      </c>
      <c r="C31" s="260">
        <v>100</v>
      </c>
      <c r="D31" s="261">
        <v>28.511199999999999</v>
      </c>
      <c r="E31" s="261">
        <v>32.729999999999997</v>
      </c>
      <c r="F31" s="261">
        <f t="shared" si="3"/>
        <v>421.87999999999982</v>
      </c>
      <c r="G31" s="261">
        <f t="shared" si="4"/>
        <v>2851.12</v>
      </c>
      <c r="H31" s="275">
        <f t="shared" si="5"/>
        <v>0.14796992059260916</v>
      </c>
      <c r="I31" s="261"/>
      <c r="W31" s="132">
        <v>42758</v>
      </c>
      <c r="X31" s="10">
        <v>34</v>
      </c>
      <c r="Y31" s="10">
        <v>35.29</v>
      </c>
      <c r="Z31" s="10">
        <v>33.92</v>
      </c>
      <c r="AA31" s="10">
        <v>35.25</v>
      </c>
      <c r="AB31" s="94">
        <v>7577100</v>
      </c>
      <c r="AC31" s="10">
        <v>34.96</v>
      </c>
      <c r="AD31" s="2">
        <f t="shared" si="0"/>
        <v>1.3699999999999974</v>
      </c>
      <c r="AE31" s="137">
        <f t="shared" si="1"/>
        <v>3.0660377358490587E-2</v>
      </c>
      <c r="AF31" s="672">
        <f t="shared" si="2"/>
        <v>-1.8709073900842199E-3</v>
      </c>
      <c r="AI31" s="673">
        <v>42747</v>
      </c>
      <c r="AJ31" s="671">
        <v>266.75</v>
      </c>
      <c r="AK31" s="671">
        <v>75</v>
      </c>
    </row>
    <row r="32" spans="1:37" x14ac:dyDescent="0.25">
      <c r="B32" s="156"/>
      <c r="C32" s="10"/>
      <c r="D32" s="40"/>
      <c r="E32" s="40"/>
      <c r="F32" s="40"/>
      <c r="G32" s="10"/>
      <c r="H32" s="10"/>
      <c r="I32" s="40"/>
      <c r="W32" s="132">
        <v>42755</v>
      </c>
      <c r="X32" s="10">
        <v>33.72</v>
      </c>
      <c r="Y32" s="10">
        <v>34.340000000000003</v>
      </c>
      <c r="Z32" s="10">
        <v>33.04</v>
      </c>
      <c r="AA32" s="10">
        <v>34.200000000000003</v>
      </c>
      <c r="AB32" s="94">
        <v>7960500</v>
      </c>
      <c r="AC32" s="10">
        <v>33.92</v>
      </c>
      <c r="AD32" s="2">
        <f t="shared" si="0"/>
        <v>1.3000000000000043</v>
      </c>
      <c r="AE32" s="137">
        <f t="shared" si="1"/>
        <v>6.0662914321450989E-2</v>
      </c>
      <c r="AF32" s="672">
        <f t="shared" si="2"/>
        <v>1.9065776930409895E-2</v>
      </c>
      <c r="AI32" s="673">
        <v>42746</v>
      </c>
      <c r="AJ32" s="671">
        <v>267.25</v>
      </c>
      <c r="AK32" s="671">
        <v>15</v>
      </c>
    </row>
    <row r="33" spans="1:37" x14ac:dyDescent="0.25">
      <c r="A33" t="s">
        <v>379</v>
      </c>
      <c r="B33" s="156">
        <v>42755</v>
      </c>
      <c r="C33" s="10">
        <v>100</v>
      </c>
      <c r="D33" s="40">
        <v>33.58</v>
      </c>
      <c r="E33" s="40">
        <v>34.200000000000003</v>
      </c>
      <c r="F33" s="40">
        <f t="shared" ref="F33:F38" si="6">C33*(E33-D33)</f>
        <v>62.000000000000455</v>
      </c>
      <c r="G33" s="40">
        <f t="shared" ref="G33:G38" si="7">D33*C33</f>
        <v>3358</v>
      </c>
      <c r="H33" s="230">
        <f t="shared" ref="H33:H38" si="8">(E33-D33)/D33</f>
        <v>1.8463371054199065E-2</v>
      </c>
      <c r="I33" s="40"/>
      <c r="W33" s="132">
        <v>42754</v>
      </c>
      <c r="X33" s="10">
        <v>32.58</v>
      </c>
      <c r="Y33" s="10">
        <v>32.72</v>
      </c>
      <c r="Z33" s="10">
        <v>31.99</v>
      </c>
      <c r="AA33" s="10">
        <v>32.25</v>
      </c>
      <c r="AB33" s="94">
        <v>5020000</v>
      </c>
      <c r="AC33" s="10">
        <v>31.98</v>
      </c>
      <c r="AD33" s="2">
        <f t="shared" si="0"/>
        <v>0.73000000000000043</v>
      </c>
      <c r="AE33" s="137">
        <f t="shared" si="1"/>
        <v>-2.1840873634944025E-3</v>
      </c>
      <c r="AF33" s="672">
        <f t="shared" si="2"/>
        <v>1.352657004830915E-2</v>
      </c>
      <c r="AI33" s="673">
        <v>42745</v>
      </c>
      <c r="AJ33" s="671">
        <v>262.25</v>
      </c>
      <c r="AK33" s="671">
        <v>75</v>
      </c>
    </row>
    <row r="34" spans="1:37" x14ac:dyDescent="0.25">
      <c r="A34" t="s">
        <v>379</v>
      </c>
      <c r="B34" s="156">
        <v>42760</v>
      </c>
      <c r="C34" s="10">
        <v>100</v>
      </c>
      <c r="D34" s="40">
        <v>33.58</v>
      </c>
      <c r="E34" s="40">
        <v>36.54</v>
      </c>
      <c r="F34" s="40">
        <f t="shared" si="6"/>
        <v>296.00000000000011</v>
      </c>
      <c r="G34" s="40">
        <f t="shared" si="7"/>
        <v>3358</v>
      </c>
      <c r="H34" s="230">
        <f t="shared" si="8"/>
        <v>8.8147706968433617E-2</v>
      </c>
      <c r="I34" s="40"/>
      <c r="W34" s="132">
        <v>42753</v>
      </c>
      <c r="X34" s="10">
        <v>32.89</v>
      </c>
      <c r="Y34" s="10">
        <v>32.92</v>
      </c>
      <c r="Z34" s="10">
        <v>32.29</v>
      </c>
      <c r="AA34" s="10">
        <v>32.32</v>
      </c>
      <c r="AB34" s="94">
        <v>5392300</v>
      </c>
      <c r="AC34" s="10">
        <v>32.049999999999997</v>
      </c>
      <c r="AD34" s="2">
        <f t="shared" si="0"/>
        <v>0.63000000000000256</v>
      </c>
      <c r="AE34" s="137">
        <f t="shared" si="1"/>
        <v>-1.7473942366646233E-2</v>
      </c>
      <c r="AF34" s="672">
        <f t="shared" si="2"/>
        <v>2.8827037773359931E-2</v>
      </c>
      <c r="AI34" s="673">
        <v>42744</v>
      </c>
      <c r="AJ34" s="671">
        <v>258.75</v>
      </c>
      <c r="AK34" s="671" t="s">
        <v>526</v>
      </c>
    </row>
    <row r="35" spans="1:37" x14ac:dyDescent="0.25">
      <c r="A35" t="s">
        <v>487</v>
      </c>
      <c r="B35" s="156">
        <v>42781</v>
      </c>
      <c r="C35" s="10">
        <v>150</v>
      </c>
      <c r="D35" s="40">
        <v>33.936700000000002</v>
      </c>
      <c r="E35" s="40">
        <v>34.659999999999997</v>
      </c>
      <c r="F35" s="40">
        <f t="shared" si="6"/>
        <v>108.49499999999921</v>
      </c>
      <c r="G35" s="40">
        <f t="shared" si="7"/>
        <v>5090.5050000000001</v>
      </c>
      <c r="H35" s="230">
        <f t="shared" si="8"/>
        <v>2.1313209593154157E-2</v>
      </c>
      <c r="I35" s="40"/>
      <c r="W35" s="132">
        <v>42752</v>
      </c>
      <c r="X35" s="10">
        <v>34.229999999999997</v>
      </c>
      <c r="Y35" s="10">
        <v>34.26</v>
      </c>
      <c r="Z35" s="10">
        <v>32.86</v>
      </c>
      <c r="AA35" s="10">
        <v>32.89</v>
      </c>
      <c r="AB35" s="94">
        <v>4777800</v>
      </c>
      <c r="AC35" s="10">
        <v>32.619999999999997</v>
      </c>
      <c r="AD35" s="2">
        <f t="shared" si="0"/>
        <v>1.3999999999999986</v>
      </c>
      <c r="AE35" s="137">
        <f t="shared" si="1"/>
        <v>-3.2047477744807318E-2</v>
      </c>
      <c r="AF35" s="672">
        <f t="shared" si="2"/>
        <v>4.9950049950049369E-3</v>
      </c>
      <c r="AI35" s="673">
        <v>42741</v>
      </c>
      <c r="AJ35" s="671">
        <v>251.5</v>
      </c>
      <c r="AK35" s="671">
        <v>15</v>
      </c>
    </row>
    <row r="36" spans="1:37" x14ac:dyDescent="0.25">
      <c r="A36" t="s">
        <v>505</v>
      </c>
      <c r="B36" s="156">
        <v>42788</v>
      </c>
      <c r="C36" s="10">
        <v>200</v>
      </c>
      <c r="D36" s="40">
        <v>33.762500000000003</v>
      </c>
      <c r="E36" s="40">
        <v>33.22</v>
      </c>
      <c r="F36" s="40">
        <f t="shared" si="6"/>
        <v>-108.5000000000008</v>
      </c>
      <c r="G36" s="40">
        <f t="shared" si="7"/>
        <v>6752.5000000000009</v>
      </c>
      <c r="H36" s="230">
        <f t="shared" si="8"/>
        <v>-1.6068122917438102E-2</v>
      </c>
      <c r="I36" s="40"/>
      <c r="W36" s="132">
        <v>42748</v>
      </c>
      <c r="X36" s="10">
        <v>34.369999999999997</v>
      </c>
      <c r="Y36" s="10">
        <v>34.700000000000003</v>
      </c>
      <c r="Z36" s="10">
        <v>33.340000000000003</v>
      </c>
      <c r="AA36" s="10">
        <v>33.979999999999997</v>
      </c>
      <c r="AB36" s="94">
        <v>4144900</v>
      </c>
      <c r="AC36" s="10">
        <v>33.700000000000003</v>
      </c>
      <c r="AD36" s="2">
        <f t="shared" si="0"/>
        <v>1.3599999999999994</v>
      </c>
      <c r="AE36" s="137">
        <f t="shared" si="1"/>
        <v>-1.5195791934541125E-2</v>
      </c>
      <c r="AF36" s="672">
        <f t="shared" si="2"/>
        <v>1.1111111111111072E-2</v>
      </c>
      <c r="AI36" s="673">
        <v>42740</v>
      </c>
      <c r="AJ36" s="671">
        <v>250.25</v>
      </c>
      <c r="AK36" s="671" t="s">
        <v>526</v>
      </c>
    </row>
    <row r="37" spans="1:37" x14ac:dyDescent="0.25">
      <c r="A37" t="s">
        <v>510</v>
      </c>
      <c r="B37" s="156">
        <v>42789</v>
      </c>
      <c r="C37" s="10">
        <v>250</v>
      </c>
      <c r="D37" s="40">
        <v>33.345999999999997</v>
      </c>
      <c r="E37" s="40">
        <v>31.82</v>
      </c>
      <c r="F37" s="40">
        <f t="shared" si="6"/>
        <v>-381.49999999999909</v>
      </c>
      <c r="G37" s="40">
        <f t="shared" si="7"/>
        <v>8336.5</v>
      </c>
      <c r="H37" s="230">
        <f t="shared" si="8"/>
        <v>-4.5762610208120807E-2</v>
      </c>
      <c r="I37" s="40"/>
      <c r="W37" s="132">
        <v>42747</v>
      </c>
      <c r="X37" s="10">
        <v>33.93</v>
      </c>
      <c r="Y37" s="10">
        <v>34.57</v>
      </c>
      <c r="Z37" s="10">
        <v>33.409999999999997</v>
      </c>
      <c r="AA37" s="10">
        <v>34.51</v>
      </c>
      <c r="AB37" s="94">
        <v>5902000</v>
      </c>
      <c r="AC37" s="10">
        <v>34.22</v>
      </c>
      <c r="AD37" s="2">
        <f t="shared" si="0"/>
        <v>1.1600000000000037</v>
      </c>
      <c r="AE37" s="137">
        <f t="shared" si="1"/>
        <v>9.1418460631083054E-3</v>
      </c>
      <c r="AF37" s="672">
        <f t="shared" si="2"/>
        <v>0</v>
      </c>
      <c r="AI37" s="673">
        <v>42739</v>
      </c>
      <c r="AJ37" s="671">
        <v>247.5</v>
      </c>
      <c r="AK37" s="671" t="s">
        <v>526</v>
      </c>
    </row>
    <row r="38" spans="1:37" x14ac:dyDescent="0.25">
      <c r="A38" t="s">
        <v>403</v>
      </c>
      <c r="B38" s="156">
        <v>42790</v>
      </c>
      <c r="C38" s="10">
        <v>250</v>
      </c>
      <c r="D38" s="40">
        <v>33.345999999999997</v>
      </c>
      <c r="E38" s="40">
        <v>31.15</v>
      </c>
      <c r="F38" s="40">
        <f t="shared" si="6"/>
        <v>-548.99999999999955</v>
      </c>
      <c r="G38" s="40">
        <f t="shared" si="7"/>
        <v>8336.5</v>
      </c>
      <c r="H38" s="230">
        <f t="shared" si="8"/>
        <v>-6.5854975109458355E-2</v>
      </c>
      <c r="I38" s="40"/>
      <c r="W38" s="132">
        <v>42746</v>
      </c>
      <c r="X38" s="10">
        <v>32.869999999999997</v>
      </c>
      <c r="Y38" s="10">
        <v>34.24</v>
      </c>
      <c r="Z38" s="10">
        <v>32.86</v>
      </c>
      <c r="AA38" s="10">
        <v>34.19</v>
      </c>
      <c r="AB38" s="94">
        <v>6500000</v>
      </c>
      <c r="AC38" s="10">
        <v>33.909999999999997</v>
      </c>
      <c r="AD38" s="2">
        <f t="shared" si="0"/>
        <v>1.3800000000000026</v>
      </c>
      <c r="AE38" s="137">
        <f t="shared" si="1"/>
        <v>4.4670363524337509E-2</v>
      </c>
      <c r="AF38" s="672">
        <f t="shared" si="2"/>
        <v>-2.0161290322581182E-3</v>
      </c>
      <c r="AI38" s="673">
        <v>42738</v>
      </c>
      <c r="AJ38" s="671">
        <v>247.5</v>
      </c>
      <c r="AK38" s="671" t="s">
        <v>526</v>
      </c>
    </row>
    <row r="39" spans="1:37" x14ac:dyDescent="0.25">
      <c r="A39" t="s">
        <v>545</v>
      </c>
      <c r="B39" s="156">
        <v>42795</v>
      </c>
      <c r="C39" s="10">
        <v>250</v>
      </c>
      <c r="D39" s="40">
        <v>33.225999999999999</v>
      </c>
      <c r="E39" s="40">
        <v>32.15</v>
      </c>
      <c r="F39" s="40">
        <f t="shared" ref="F39" si="9">C39*(E39-D39)</f>
        <v>-269.00000000000011</v>
      </c>
      <c r="G39" s="40">
        <f t="shared" ref="G39" si="10">D39*C39</f>
        <v>8306.5</v>
      </c>
      <c r="H39" s="230">
        <f t="shared" ref="H39" si="11">(E39-D39)/D39</f>
        <v>-3.2384277373141535E-2</v>
      </c>
      <c r="I39" s="40"/>
      <c r="W39" s="132">
        <v>42745</v>
      </c>
      <c r="X39" s="10">
        <v>33.409999999999997</v>
      </c>
      <c r="Y39" s="10">
        <v>33.78</v>
      </c>
      <c r="Z39" s="10">
        <v>32.4</v>
      </c>
      <c r="AA39" s="10">
        <v>32.729999999999997</v>
      </c>
      <c r="AB39" s="94">
        <v>6816000</v>
      </c>
      <c r="AC39" s="10">
        <v>32.46</v>
      </c>
      <c r="AD39" s="2">
        <f t="shared" si="0"/>
        <v>1.3800000000000026</v>
      </c>
      <c r="AE39" s="137">
        <f t="shared" si="1"/>
        <v>-3.0755449387876999E-2</v>
      </c>
      <c r="AF39" s="672">
        <f t="shared" si="2"/>
        <v>0</v>
      </c>
      <c r="AI39" s="673">
        <v>42734</v>
      </c>
      <c r="AJ39" s="671">
        <v>248</v>
      </c>
      <c r="AK39" s="671">
        <v>15</v>
      </c>
    </row>
    <row r="40" spans="1:37" x14ac:dyDescent="0.25">
      <c r="B40" s="156"/>
      <c r="C40" s="10"/>
      <c r="D40" s="40"/>
      <c r="E40" s="40"/>
      <c r="F40" s="40"/>
      <c r="G40" s="10"/>
      <c r="H40" s="10"/>
      <c r="I40" s="40"/>
      <c r="W40" s="132">
        <v>42744</v>
      </c>
      <c r="X40" s="10">
        <v>33.47</v>
      </c>
      <c r="Y40" s="10">
        <v>33.950000000000003</v>
      </c>
      <c r="Z40" s="10">
        <v>33.07</v>
      </c>
      <c r="AA40" s="10">
        <v>33.770000000000003</v>
      </c>
      <c r="AB40" s="94">
        <v>4516800</v>
      </c>
      <c r="AC40" s="10">
        <v>33.49</v>
      </c>
      <c r="AD40" s="2">
        <f t="shared" si="0"/>
        <v>0.88000000000000256</v>
      </c>
      <c r="AE40" s="137">
        <f t="shared" si="1"/>
        <v>9.0388671286534272E-3</v>
      </c>
      <c r="AF40" s="672">
        <f t="shared" si="2"/>
        <v>2.0202020202020332E-3</v>
      </c>
      <c r="AI40" s="673">
        <v>42733</v>
      </c>
      <c r="AJ40" s="671">
        <v>248</v>
      </c>
      <c r="AK40" s="671">
        <v>15</v>
      </c>
    </row>
    <row r="41" spans="1:37" x14ac:dyDescent="0.25">
      <c r="B41" s="156"/>
      <c r="C41" s="10"/>
      <c r="D41" s="40"/>
      <c r="E41" s="40"/>
      <c r="F41" s="40"/>
      <c r="G41" s="10"/>
      <c r="H41" s="10"/>
      <c r="I41" s="40"/>
      <c r="W41" s="132">
        <v>42741</v>
      </c>
      <c r="X41" s="10">
        <v>33.07</v>
      </c>
      <c r="Y41" s="10">
        <v>33.5</v>
      </c>
      <c r="Z41" s="10">
        <v>33.020000000000003</v>
      </c>
      <c r="AA41" s="10">
        <v>33.47</v>
      </c>
      <c r="AB41" s="94">
        <v>2840200</v>
      </c>
      <c r="AC41" s="10">
        <v>33.19</v>
      </c>
      <c r="AD41" s="2">
        <f t="shared" si="0"/>
        <v>0.47999999999999687</v>
      </c>
      <c r="AE41" s="137">
        <f t="shared" si="1"/>
        <v>1.2507626601586219E-2</v>
      </c>
      <c r="AF41" s="672">
        <f t="shared" si="2"/>
        <v>-1.0000000000000009E-2</v>
      </c>
      <c r="AI41" s="673">
        <v>42732</v>
      </c>
      <c r="AJ41" s="671">
        <v>247.5</v>
      </c>
      <c r="AK41" s="671" t="s">
        <v>526</v>
      </c>
    </row>
    <row r="42" spans="1:37" x14ac:dyDescent="0.25">
      <c r="B42" s="156"/>
      <c r="C42" s="10"/>
      <c r="D42" s="40"/>
      <c r="E42" s="40"/>
      <c r="F42" s="40"/>
      <c r="G42" s="10"/>
      <c r="H42" s="10"/>
      <c r="I42" s="40"/>
      <c r="W42" s="132">
        <v>42740</v>
      </c>
      <c r="X42" s="10">
        <v>33.04</v>
      </c>
      <c r="Y42" s="10">
        <v>33.4</v>
      </c>
      <c r="Z42" s="10">
        <v>32.32</v>
      </c>
      <c r="AA42" s="10">
        <v>33.049999999999997</v>
      </c>
      <c r="AB42" s="94">
        <v>5949600</v>
      </c>
      <c r="AC42" s="10">
        <v>32.78</v>
      </c>
      <c r="AD42" s="2">
        <f t="shared" si="0"/>
        <v>1.0799999999999983</v>
      </c>
      <c r="AE42" s="137">
        <f t="shared" si="1"/>
        <v>3.0515715593515402E-4</v>
      </c>
      <c r="AF42" s="672">
        <f t="shared" si="2"/>
        <v>2.0408163265306145E-2</v>
      </c>
      <c r="AI42" s="673">
        <v>42731</v>
      </c>
      <c r="AJ42" s="671">
        <v>250</v>
      </c>
      <c r="AK42" s="671" t="s">
        <v>526</v>
      </c>
    </row>
    <row r="43" spans="1:37" x14ac:dyDescent="0.25">
      <c r="B43" s="156"/>
      <c r="C43" s="10"/>
      <c r="D43" s="40"/>
      <c r="E43" s="40"/>
      <c r="F43" s="40"/>
      <c r="G43" s="10"/>
      <c r="H43" s="10"/>
      <c r="I43" s="40"/>
      <c r="W43" s="132">
        <v>42739</v>
      </c>
      <c r="X43" s="10">
        <v>32.11</v>
      </c>
      <c r="Y43" s="10">
        <v>33.04</v>
      </c>
      <c r="Z43" s="10">
        <v>32.04</v>
      </c>
      <c r="AA43" s="10">
        <v>33.04</v>
      </c>
      <c r="AB43" s="94">
        <v>5479500</v>
      </c>
      <c r="AC43" s="10">
        <v>32.770000000000003</v>
      </c>
      <c r="AD43" s="2">
        <f t="shared" si="0"/>
        <v>1</v>
      </c>
      <c r="AE43" s="137">
        <f t="shared" si="1"/>
        <v>3.6697247706422242E-2</v>
      </c>
      <c r="AF43" s="672">
        <f t="shared" si="2"/>
        <v>0</v>
      </c>
      <c r="AI43" s="673">
        <v>42727</v>
      </c>
      <c r="AJ43" s="671">
        <v>245</v>
      </c>
      <c r="AK43" s="671" t="s">
        <v>526</v>
      </c>
    </row>
    <row r="44" spans="1:37" x14ac:dyDescent="0.25">
      <c r="B44" s="575">
        <v>42545</v>
      </c>
      <c r="C44" s="524">
        <v>100</v>
      </c>
      <c r="D44" s="526">
        <v>25.25</v>
      </c>
      <c r="E44" s="526">
        <v>25.43</v>
      </c>
      <c r="F44" s="526">
        <f t="shared" ref="F44:F56" si="12">C44*(E44-D44)</f>
        <v>17.999999999999972</v>
      </c>
      <c r="G44" s="526">
        <f t="shared" ref="G44:G56" si="13">D44*C44</f>
        <v>2525</v>
      </c>
      <c r="H44" s="570">
        <f t="shared" ref="H44:H56" si="14">(E44-D44)/D44</f>
        <v>7.1287128712871177E-3</v>
      </c>
      <c r="I44" s="526"/>
      <c r="W44" s="132">
        <v>42738</v>
      </c>
      <c r="X44" s="10">
        <v>32.020000000000003</v>
      </c>
      <c r="Y44" s="10">
        <v>32.590000000000003</v>
      </c>
      <c r="Z44" s="10">
        <v>31.66</v>
      </c>
      <c r="AA44" s="10">
        <v>31.87</v>
      </c>
      <c r="AB44" s="94">
        <v>6719700</v>
      </c>
      <c r="AC44" s="10">
        <v>31.61</v>
      </c>
      <c r="AD44" s="2">
        <f t="shared" si="0"/>
        <v>0.93000000000000327</v>
      </c>
      <c r="AE44" s="137">
        <f t="shared" si="1"/>
        <v>1.2491992312620104E-2</v>
      </c>
      <c r="AF44" s="672">
        <f t="shared" si="2"/>
        <v>3.0706243602864891E-3</v>
      </c>
      <c r="AI44" s="673">
        <v>42726</v>
      </c>
      <c r="AJ44" s="671">
        <v>245</v>
      </c>
      <c r="AK44" s="671">
        <v>15</v>
      </c>
    </row>
    <row r="45" spans="1:37" x14ac:dyDescent="0.25">
      <c r="B45" s="575">
        <v>42548</v>
      </c>
      <c r="C45" s="524">
        <v>100</v>
      </c>
      <c r="D45" s="526">
        <v>25.25</v>
      </c>
      <c r="E45" s="526">
        <v>23.48</v>
      </c>
      <c r="F45" s="526">
        <f t="shared" si="12"/>
        <v>-176.99999999999994</v>
      </c>
      <c r="G45" s="526">
        <f t="shared" si="13"/>
        <v>2525</v>
      </c>
      <c r="H45" s="570">
        <f t="shared" si="14"/>
        <v>-7.0099009900990078E-2</v>
      </c>
      <c r="I45" s="526"/>
      <c r="W45" s="132">
        <v>42734</v>
      </c>
      <c r="X45" s="10">
        <v>31.81</v>
      </c>
      <c r="Y45" s="10">
        <v>32.159999999999997</v>
      </c>
      <c r="Z45" s="10">
        <v>31.08</v>
      </c>
      <c r="AA45" s="10">
        <v>31.48</v>
      </c>
      <c r="AB45" s="94">
        <v>4181300</v>
      </c>
      <c r="AC45" s="10">
        <v>31.22</v>
      </c>
      <c r="AD45" s="2">
        <f t="shared" si="0"/>
        <v>1.0799999999999983</v>
      </c>
      <c r="AE45" s="137">
        <f t="shared" si="1"/>
        <v>-1.3274336283185861E-2</v>
      </c>
      <c r="AF45" s="672">
        <f t="shared" si="2"/>
        <v>-1.0224948875255935E-3</v>
      </c>
      <c r="AI45" s="673">
        <v>42725</v>
      </c>
      <c r="AJ45" s="671">
        <v>244.25</v>
      </c>
      <c r="AK45" s="671" t="s">
        <v>526</v>
      </c>
    </row>
    <row r="46" spans="1:37" x14ac:dyDescent="0.25">
      <c r="B46" s="575">
        <v>42549</v>
      </c>
      <c r="C46" s="524">
        <v>100</v>
      </c>
      <c r="D46" s="526">
        <v>25.25</v>
      </c>
      <c r="E46" s="526">
        <v>24.06</v>
      </c>
      <c r="F46" s="526">
        <f t="shared" si="12"/>
        <v>-119.00000000000013</v>
      </c>
      <c r="G46" s="526">
        <f t="shared" si="13"/>
        <v>2525</v>
      </c>
      <c r="H46" s="570">
        <f t="shared" si="14"/>
        <v>-4.7128712871287178E-2</v>
      </c>
      <c r="I46" s="526"/>
      <c r="W46" s="132">
        <v>42733</v>
      </c>
      <c r="X46" s="10">
        <v>31.52</v>
      </c>
      <c r="Y46" s="10">
        <v>32.04</v>
      </c>
      <c r="Z46" s="10">
        <v>31.44</v>
      </c>
      <c r="AA46" s="10">
        <v>31.9</v>
      </c>
      <c r="AB46" s="94">
        <v>4220100</v>
      </c>
      <c r="AC46" s="10">
        <v>31.64</v>
      </c>
      <c r="AD46" s="2">
        <f t="shared" si="0"/>
        <v>0.59999999999999787</v>
      </c>
      <c r="AE46" s="137">
        <f t="shared" si="1"/>
        <v>8.6069493146319065E-3</v>
      </c>
      <c r="AF46" s="672">
        <f t="shared" si="2"/>
        <v>-2.0408163265306367E-3</v>
      </c>
      <c r="AI46" s="673">
        <v>42724</v>
      </c>
      <c r="AJ46" s="671">
        <v>244.5</v>
      </c>
      <c r="AK46" s="671" t="s">
        <v>526</v>
      </c>
    </row>
    <row r="47" spans="1:37" x14ac:dyDescent="0.25">
      <c r="B47" s="575">
        <v>42556</v>
      </c>
      <c r="C47" s="524">
        <v>100</v>
      </c>
      <c r="D47" s="526">
        <v>25.25</v>
      </c>
      <c r="E47" s="526">
        <v>23.54</v>
      </c>
      <c r="F47" s="526">
        <f t="shared" si="12"/>
        <v>-171.00000000000009</v>
      </c>
      <c r="G47" s="526">
        <f t="shared" si="13"/>
        <v>2525</v>
      </c>
      <c r="H47" s="570">
        <f t="shared" si="14"/>
        <v>-6.7722772277227755E-2</v>
      </c>
      <c r="I47" s="526"/>
      <c r="W47" s="132">
        <v>42732</v>
      </c>
      <c r="X47" s="10">
        <v>32.11</v>
      </c>
      <c r="Y47" s="10">
        <v>32.61</v>
      </c>
      <c r="Z47" s="10">
        <v>31.28</v>
      </c>
      <c r="AA47" s="10">
        <v>31.63</v>
      </c>
      <c r="AB47" s="94">
        <v>3653400</v>
      </c>
      <c r="AC47" s="10">
        <v>31.37</v>
      </c>
      <c r="AD47" s="2">
        <f t="shared" si="0"/>
        <v>1.3299999999999983</v>
      </c>
      <c r="AE47" s="137">
        <f t="shared" si="1"/>
        <v>-1.0097822656989552E-2</v>
      </c>
      <c r="AF47" s="672">
        <f t="shared" si="2"/>
        <v>0</v>
      </c>
      <c r="AI47" s="673">
        <v>42723</v>
      </c>
      <c r="AJ47" s="671">
        <v>245</v>
      </c>
      <c r="AK47" s="671">
        <v>15</v>
      </c>
    </row>
    <row r="48" spans="1:37" x14ac:dyDescent="0.25">
      <c r="B48" s="575">
        <v>42557</v>
      </c>
      <c r="C48" s="524">
        <v>100</v>
      </c>
      <c r="D48" s="526">
        <v>25.25</v>
      </c>
      <c r="E48" s="526">
        <v>23.75</v>
      </c>
      <c r="F48" s="526">
        <f t="shared" si="12"/>
        <v>-150</v>
      </c>
      <c r="G48" s="526">
        <f t="shared" si="13"/>
        <v>2525</v>
      </c>
      <c r="H48" s="570">
        <f t="shared" si="14"/>
        <v>-5.9405940594059403E-2</v>
      </c>
      <c r="I48" s="526"/>
      <c r="W48" s="132">
        <v>42731</v>
      </c>
      <c r="X48" s="10">
        <v>30.91</v>
      </c>
      <c r="Y48" s="10">
        <v>32.11</v>
      </c>
      <c r="Z48" s="10">
        <v>30.72</v>
      </c>
      <c r="AA48" s="10">
        <v>31.95</v>
      </c>
      <c r="AB48" s="94">
        <v>6222900</v>
      </c>
      <c r="AC48" s="10">
        <v>31.69</v>
      </c>
      <c r="AD48" s="2">
        <f t="shared" si="0"/>
        <v>1.3900000000000006</v>
      </c>
      <c r="AE48" s="137">
        <f t="shared" si="1"/>
        <v>4.0380827314510759E-2</v>
      </c>
      <c r="AF48" s="672">
        <f t="shared" si="2"/>
        <v>-4.0650406504064707E-3</v>
      </c>
      <c r="AI48" s="673">
        <v>42720</v>
      </c>
      <c r="AJ48" s="671">
        <v>245</v>
      </c>
      <c r="AK48" s="671" t="s">
        <v>526</v>
      </c>
    </row>
    <row r="49" spans="2:37" x14ac:dyDescent="0.25">
      <c r="B49" s="575">
        <v>42559</v>
      </c>
      <c r="C49" s="524">
        <v>100</v>
      </c>
      <c r="D49" s="526">
        <v>25.25</v>
      </c>
      <c r="E49" s="526">
        <v>24.86</v>
      </c>
      <c r="F49" s="526">
        <f t="shared" si="12"/>
        <v>-39.000000000000057</v>
      </c>
      <c r="G49" s="526">
        <f t="shared" si="13"/>
        <v>2525</v>
      </c>
      <c r="H49" s="570">
        <f t="shared" si="14"/>
        <v>-1.5445544554455468E-2</v>
      </c>
      <c r="I49" s="526"/>
      <c r="W49" s="132">
        <v>42727</v>
      </c>
      <c r="X49" s="10">
        <v>30.11</v>
      </c>
      <c r="Y49" s="10">
        <v>30.81</v>
      </c>
      <c r="Z49" s="10">
        <v>29.61</v>
      </c>
      <c r="AA49" s="10">
        <v>30.71</v>
      </c>
      <c r="AB49" s="94">
        <v>5475500</v>
      </c>
      <c r="AC49" s="10">
        <v>30.46</v>
      </c>
      <c r="AD49" s="2">
        <f t="shared" si="0"/>
        <v>1.1999999999999993</v>
      </c>
      <c r="AE49" s="137">
        <f t="shared" si="1"/>
        <v>2.009377093101139E-2</v>
      </c>
      <c r="AF49" s="672">
        <f t="shared" si="2"/>
        <v>2.4999999999999911E-2</v>
      </c>
      <c r="AI49" s="673">
        <v>42719</v>
      </c>
      <c r="AJ49" s="671">
        <v>246</v>
      </c>
      <c r="AK49" s="671">
        <v>15</v>
      </c>
    </row>
    <row r="50" spans="2:37" x14ac:dyDescent="0.25">
      <c r="B50" s="575">
        <v>42562</v>
      </c>
      <c r="C50" s="524">
        <v>100</v>
      </c>
      <c r="D50" s="526">
        <v>25.25</v>
      </c>
      <c r="E50" s="526">
        <v>24.67</v>
      </c>
      <c r="F50" s="526">
        <f t="shared" si="12"/>
        <v>-57.999999999999829</v>
      </c>
      <c r="G50" s="526">
        <f t="shared" si="13"/>
        <v>2525</v>
      </c>
      <c r="H50" s="570">
        <f t="shared" si="14"/>
        <v>-2.2970297029702904E-2</v>
      </c>
      <c r="I50" s="526"/>
      <c r="W50" s="132">
        <v>42726</v>
      </c>
      <c r="X50" s="10">
        <v>28.97</v>
      </c>
      <c r="Y50" s="10">
        <v>30.17</v>
      </c>
      <c r="Z50" s="10">
        <v>28.82</v>
      </c>
      <c r="AA50" s="10">
        <v>30.11</v>
      </c>
      <c r="AB50" s="94">
        <v>4335200</v>
      </c>
      <c r="AC50" s="10">
        <v>29.86</v>
      </c>
      <c r="AD50" s="2">
        <f t="shared" si="0"/>
        <v>1.3500000000000014</v>
      </c>
      <c r="AE50" s="137">
        <f t="shared" si="1"/>
        <v>4.1870202372644716E-2</v>
      </c>
      <c r="AF50" s="672">
        <f t="shared" si="2"/>
        <v>1.4799154334038001E-2</v>
      </c>
      <c r="AI50" s="673">
        <v>42718</v>
      </c>
      <c r="AJ50" s="671">
        <v>240</v>
      </c>
      <c r="AK50" s="671" t="s">
        <v>526</v>
      </c>
    </row>
    <row r="51" spans="2:37" x14ac:dyDescent="0.25">
      <c r="B51" s="575">
        <v>42563</v>
      </c>
      <c r="C51" s="524">
        <v>100</v>
      </c>
      <c r="D51" s="526">
        <v>25.25</v>
      </c>
      <c r="E51" s="526">
        <v>26.03</v>
      </c>
      <c r="F51" s="526">
        <f t="shared" si="12"/>
        <v>78.000000000000114</v>
      </c>
      <c r="G51" s="526">
        <f t="shared" si="13"/>
        <v>2525</v>
      </c>
      <c r="H51" s="570">
        <f t="shared" si="14"/>
        <v>3.0891089108910936E-2</v>
      </c>
      <c r="I51" s="526"/>
      <c r="W51" s="132">
        <v>42725</v>
      </c>
      <c r="X51" s="10">
        <v>29.11</v>
      </c>
      <c r="Y51" s="10">
        <v>29.11</v>
      </c>
      <c r="Z51" s="10">
        <v>28.55</v>
      </c>
      <c r="AA51" s="10">
        <v>28.9</v>
      </c>
      <c r="AB51" s="94">
        <v>3782400</v>
      </c>
      <c r="AC51" s="10">
        <v>28.66</v>
      </c>
      <c r="AD51" s="2">
        <f t="shared" si="0"/>
        <v>0.55999999999999872</v>
      </c>
      <c r="AE51" s="137">
        <f t="shared" si="1"/>
        <v>-3.1304347826086598E-3</v>
      </c>
      <c r="AF51" s="672">
        <f t="shared" si="2"/>
        <v>-2.1097046413501852E-3</v>
      </c>
      <c r="AI51" s="673">
        <v>42717</v>
      </c>
      <c r="AJ51" s="671">
        <v>236.5</v>
      </c>
      <c r="AK51" s="671" t="s">
        <v>526</v>
      </c>
    </row>
    <row r="52" spans="2:37" x14ac:dyDescent="0.25">
      <c r="B52" s="575">
        <v>42569</v>
      </c>
      <c r="C52" s="524">
        <v>100</v>
      </c>
      <c r="D52" s="526">
        <v>25.25</v>
      </c>
      <c r="E52" s="526">
        <v>27.69</v>
      </c>
      <c r="F52" s="526">
        <f t="shared" si="12"/>
        <v>244.00000000000011</v>
      </c>
      <c r="G52" s="526">
        <f t="shared" si="13"/>
        <v>2525</v>
      </c>
      <c r="H52" s="570">
        <f t="shared" si="14"/>
        <v>9.6633663366336678E-2</v>
      </c>
      <c r="I52" s="579">
        <v>23</v>
      </c>
      <c r="W52" s="132">
        <v>42724</v>
      </c>
      <c r="X52" s="10">
        <v>28.47</v>
      </c>
      <c r="Y52" s="10">
        <v>29.09</v>
      </c>
      <c r="Z52" s="10">
        <v>28.29</v>
      </c>
      <c r="AA52" s="10">
        <v>28.99</v>
      </c>
      <c r="AB52" s="94">
        <v>3921800</v>
      </c>
      <c r="AC52" s="10">
        <v>28.75</v>
      </c>
      <c r="AD52" s="2">
        <f t="shared" si="0"/>
        <v>0.80000000000000071</v>
      </c>
      <c r="AE52" s="137">
        <f t="shared" si="1"/>
        <v>2.4590163934426368E-2</v>
      </c>
      <c r="AF52" s="672">
        <f t="shared" si="2"/>
        <v>1.4989293361884259E-2</v>
      </c>
      <c r="AI52" s="673">
        <v>42716</v>
      </c>
      <c r="AJ52" s="671">
        <v>237</v>
      </c>
      <c r="AK52" s="671" t="s">
        <v>526</v>
      </c>
    </row>
    <row r="53" spans="2:37" ht="20.25" thickBot="1" x14ac:dyDescent="0.35">
      <c r="B53" s="575">
        <v>42570</v>
      </c>
      <c r="C53" s="524">
        <v>100</v>
      </c>
      <c r="D53" s="526">
        <v>25.25</v>
      </c>
      <c r="E53" s="526">
        <v>26.55</v>
      </c>
      <c r="F53" s="526">
        <f t="shared" si="12"/>
        <v>130.00000000000006</v>
      </c>
      <c r="G53" s="526">
        <f t="shared" si="13"/>
        <v>2525</v>
      </c>
      <c r="H53" s="570">
        <f t="shared" si="14"/>
        <v>5.148514851485151E-2</v>
      </c>
      <c r="I53" s="526"/>
      <c r="O53" s="703" t="s">
        <v>78</v>
      </c>
      <c r="P53" s="703"/>
      <c r="W53" s="132">
        <v>42723</v>
      </c>
      <c r="X53" s="10">
        <v>29.16</v>
      </c>
      <c r="Y53" s="10">
        <v>29.5</v>
      </c>
      <c r="Z53" s="10">
        <v>28.14</v>
      </c>
      <c r="AA53" s="10">
        <v>28.29</v>
      </c>
      <c r="AB53" s="94">
        <v>5416900</v>
      </c>
      <c r="AC53" s="10">
        <v>28.06</v>
      </c>
      <c r="AD53" s="2">
        <f t="shared" si="0"/>
        <v>1.3599999999999994</v>
      </c>
      <c r="AE53" s="137">
        <f t="shared" si="1"/>
        <v>-4.035567715458277E-2</v>
      </c>
      <c r="AF53" s="672">
        <f t="shared" si="2"/>
        <v>5.3821313240043356E-3</v>
      </c>
      <c r="AI53" s="673">
        <v>42713</v>
      </c>
      <c r="AJ53" s="671">
        <v>233.5</v>
      </c>
      <c r="AK53" s="671">
        <v>30</v>
      </c>
    </row>
    <row r="54" spans="2:37" ht="15.75" thickTop="1" x14ac:dyDescent="0.25">
      <c r="B54" s="575">
        <v>42571</v>
      </c>
      <c r="C54" s="524">
        <v>100</v>
      </c>
      <c r="D54" s="526">
        <v>25.25</v>
      </c>
      <c r="E54" s="526">
        <v>26.61</v>
      </c>
      <c r="F54" s="526">
        <f t="shared" si="12"/>
        <v>135.99999999999994</v>
      </c>
      <c r="G54" s="526">
        <f t="shared" si="13"/>
        <v>2525</v>
      </c>
      <c r="H54" s="570">
        <f t="shared" si="14"/>
        <v>5.386138613861384E-2</v>
      </c>
      <c r="I54" s="526"/>
      <c r="O54" s="82">
        <v>1.1000000000000001</v>
      </c>
      <c r="P54" s="82">
        <f>O54*$Q$4</f>
        <v>32.362000000000002</v>
      </c>
      <c r="Q54" s="2"/>
      <c r="W54" s="132">
        <v>42720</v>
      </c>
      <c r="X54" s="10">
        <v>28.58</v>
      </c>
      <c r="Y54" s="10">
        <v>29.61</v>
      </c>
      <c r="Z54" s="10">
        <v>28.22</v>
      </c>
      <c r="AA54" s="10">
        <v>29.48</v>
      </c>
      <c r="AB54" s="94">
        <v>10461700</v>
      </c>
      <c r="AC54" s="10">
        <v>29.24</v>
      </c>
      <c r="AD54" s="2">
        <f t="shared" si="0"/>
        <v>1.3900000000000006</v>
      </c>
      <c r="AE54" s="137">
        <f t="shared" si="1"/>
        <v>2.9215065117916161E-2</v>
      </c>
      <c r="AF54" s="672">
        <f t="shared" si="2"/>
        <v>1.9758507135016368E-2</v>
      </c>
      <c r="AI54" s="673">
        <v>42712</v>
      </c>
      <c r="AJ54" s="671">
        <v>232.25</v>
      </c>
      <c r="AK54" s="671" t="s">
        <v>526</v>
      </c>
    </row>
    <row r="55" spans="2:37" ht="20.25" thickBot="1" x14ac:dyDescent="0.35">
      <c r="B55" s="575">
        <v>42572</v>
      </c>
      <c r="C55" s="524">
        <v>100</v>
      </c>
      <c r="D55" s="526">
        <v>25.25</v>
      </c>
      <c r="E55" s="526">
        <v>26.29</v>
      </c>
      <c r="F55" s="526">
        <f t="shared" si="12"/>
        <v>103.99999999999991</v>
      </c>
      <c r="G55" s="526">
        <f t="shared" si="13"/>
        <v>2525</v>
      </c>
      <c r="H55" s="570">
        <f t="shared" si="14"/>
        <v>4.1188118811881155E-2</v>
      </c>
      <c r="I55" s="526"/>
      <c r="O55" s="82">
        <v>1.0900000000000001</v>
      </c>
      <c r="P55" s="82">
        <f t="shared" ref="P55:P74" si="15">O55*$Q$4</f>
        <v>32.067800000000005</v>
      </c>
      <c r="Q55" s="2"/>
      <c r="T55" s="90" t="s">
        <v>113</v>
      </c>
      <c r="W55" s="132">
        <v>42719</v>
      </c>
      <c r="X55" s="10">
        <v>27.97</v>
      </c>
      <c r="Y55" s="10">
        <v>29.08</v>
      </c>
      <c r="Z55" s="10">
        <v>27.75</v>
      </c>
      <c r="AA55" s="10">
        <v>28.65</v>
      </c>
      <c r="AB55" s="94">
        <v>4453900</v>
      </c>
      <c r="AC55" s="10">
        <v>28.41</v>
      </c>
      <c r="AD55" s="2">
        <f t="shared" si="0"/>
        <v>1.3299999999999983</v>
      </c>
      <c r="AE55" s="137">
        <f t="shared" si="1"/>
        <v>1.9010043041606917E-2</v>
      </c>
      <c r="AF55" s="672">
        <f t="shared" si="2"/>
        <v>-3.2822757111596879E-3</v>
      </c>
      <c r="AI55" s="673">
        <v>42711</v>
      </c>
      <c r="AJ55" s="671">
        <v>227.75</v>
      </c>
      <c r="AK55" s="671" t="s">
        <v>526</v>
      </c>
    </row>
    <row r="56" spans="2:37" ht="15.75" thickTop="1" x14ac:dyDescent="0.25">
      <c r="B56" s="575">
        <v>42575</v>
      </c>
      <c r="C56" s="524">
        <v>100</v>
      </c>
      <c r="D56" s="526">
        <v>25.25</v>
      </c>
      <c r="E56" s="526">
        <v>25.18</v>
      </c>
      <c r="F56" s="526">
        <f t="shared" si="12"/>
        <v>-7.0000000000000284</v>
      </c>
      <c r="G56" s="526">
        <f t="shared" si="13"/>
        <v>2525</v>
      </c>
      <c r="H56" s="570">
        <f t="shared" si="14"/>
        <v>-2.7722772277227834E-3</v>
      </c>
      <c r="I56" s="526"/>
      <c r="O56" s="82">
        <v>1.08</v>
      </c>
      <c r="P56" s="82">
        <f t="shared" si="15"/>
        <v>31.773600000000005</v>
      </c>
      <c r="Q56" s="2"/>
      <c r="T56" s="127" t="s">
        <v>98</v>
      </c>
      <c r="U56" s="128">
        <v>31.56</v>
      </c>
      <c r="W56" s="132">
        <v>42718</v>
      </c>
      <c r="X56" s="10">
        <v>28.28</v>
      </c>
      <c r="Y56" s="10">
        <v>28.84</v>
      </c>
      <c r="Z56" s="10">
        <v>28.03</v>
      </c>
      <c r="AA56" s="10">
        <v>28.11</v>
      </c>
      <c r="AB56" s="94">
        <v>3011900</v>
      </c>
      <c r="AC56" s="10">
        <v>27.88</v>
      </c>
      <c r="AD56" s="2">
        <f t="shared" si="0"/>
        <v>0.80999999999999872</v>
      </c>
      <c r="AE56" s="137">
        <f t="shared" si="1"/>
        <v>-1.0645848119233525E-2</v>
      </c>
      <c r="AF56" s="672">
        <f t="shared" si="2"/>
        <v>-1.1891891891891881E-2</v>
      </c>
      <c r="AI56" s="673">
        <v>42710</v>
      </c>
      <c r="AJ56" s="671">
        <v>228.5</v>
      </c>
      <c r="AK56" s="671" t="s">
        <v>526</v>
      </c>
    </row>
    <row r="57" spans="2:37" x14ac:dyDescent="0.25">
      <c r="B57" s="575">
        <v>42576</v>
      </c>
      <c r="C57" s="524">
        <v>100</v>
      </c>
      <c r="D57" s="526">
        <v>25.25</v>
      </c>
      <c r="E57" s="526">
        <v>25.33</v>
      </c>
      <c r="F57" s="526">
        <f t="shared" ref="F57:F63" si="16">C57*(E57-D57)</f>
        <v>7.9999999999998295</v>
      </c>
      <c r="G57" s="526">
        <f t="shared" ref="G57:G63" si="17">D57*C57</f>
        <v>2525</v>
      </c>
      <c r="H57" s="570">
        <f t="shared" ref="H57:H63" si="18">(E57-D57)/D57</f>
        <v>3.1683168316831009E-3</v>
      </c>
      <c r="I57" s="526"/>
      <c r="O57" s="82">
        <v>1.07</v>
      </c>
      <c r="P57" s="82">
        <f t="shared" si="15"/>
        <v>31.479400000000005</v>
      </c>
      <c r="Q57" s="2"/>
      <c r="T57" s="92" t="s">
        <v>99</v>
      </c>
      <c r="U57" s="129">
        <v>31.47</v>
      </c>
      <c r="W57" s="132">
        <v>42717</v>
      </c>
      <c r="X57" s="10">
        <v>29.07</v>
      </c>
      <c r="Y57" s="10">
        <v>29.3</v>
      </c>
      <c r="Z57" s="10">
        <v>28.05</v>
      </c>
      <c r="AA57" s="10">
        <v>28.41</v>
      </c>
      <c r="AB57" s="94">
        <v>6542500</v>
      </c>
      <c r="AC57" s="10">
        <v>28.18</v>
      </c>
      <c r="AD57" s="2">
        <f t="shared" si="0"/>
        <v>1.25</v>
      </c>
      <c r="AE57" s="137">
        <f t="shared" si="1"/>
        <v>-2.016689847009745E-2</v>
      </c>
      <c r="AF57" s="672">
        <f t="shared" si="2"/>
        <v>0</v>
      </c>
      <c r="AI57" s="673">
        <v>42709</v>
      </c>
      <c r="AJ57" s="671">
        <v>231.25</v>
      </c>
      <c r="AK57" s="671">
        <v>30</v>
      </c>
    </row>
    <row r="58" spans="2:37" x14ac:dyDescent="0.25">
      <c r="B58" s="575">
        <v>42577</v>
      </c>
      <c r="C58" s="524">
        <v>70</v>
      </c>
      <c r="D58" s="526">
        <v>25.010300000000001</v>
      </c>
      <c r="E58" s="526">
        <v>25.8</v>
      </c>
      <c r="F58" s="526">
        <f t="shared" si="16"/>
        <v>55.278999999999989</v>
      </c>
      <c r="G58" s="526">
        <f t="shared" si="17"/>
        <v>1750.721</v>
      </c>
      <c r="H58" s="570">
        <f t="shared" si="18"/>
        <v>3.1574991103665281E-2</v>
      </c>
      <c r="I58" s="526"/>
      <c r="O58" s="82">
        <v>1.06</v>
      </c>
      <c r="P58" s="82">
        <f t="shared" si="15"/>
        <v>31.185200000000002</v>
      </c>
      <c r="Q58" s="2"/>
      <c r="T58" s="92" t="s">
        <v>100</v>
      </c>
      <c r="U58" s="129" t="s">
        <v>129</v>
      </c>
      <c r="W58" s="132">
        <v>42716</v>
      </c>
      <c r="X58" s="10">
        <v>30.82</v>
      </c>
      <c r="Y58" s="10">
        <v>30.87</v>
      </c>
      <c r="Z58" s="10">
        <v>28.67</v>
      </c>
      <c r="AA58" s="10">
        <v>29</v>
      </c>
      <c r="AB58" s="94">
        <v>6049600</v>
      </c>
      <c r="AC58" s="10">
        <v>28.76</v>
      </c>
      <c r="AD58" s="2">
        <f t="shared" si="0"/>
        <v>2.1999999999999993</v>
      </c>
      <c r="AE58" s="137">
        <f t="shared" si="1"/>
        <v>-6.2886933854675808E-2</v>
      </c>
      <c r="AF58" s="672">
        <f t="shared" si="2"/>
        <v>3.8159371492704874E-2</v>
      </c>
      <c r="AI58" s="673">
        <v>42706</v>
      </c>
      <c r="AJ58" s="671">
        <v>231.25</v>
      </c>
      <c r="AK58" s="671">
        <v>30</v>
      </c>
    </row>
    <row r="59" spans="2:37" x14ac:dyDescent="0.25">
      <c r="B59" s="575">
        <v>42580</v>
      </c>
      <c r="C59" s="524">
        <v>100</v>
      </c>
      <c r="D59" s="526">
        <v>24.641200000000001</v>
      </c>
      <c r="E59" s="526">
        <v>24.68</v>
      </c>
      <c r="F59" s="526">
        <f t="shared" si="16"/>
        <v>3.8799999999998391</v>
      </c>
      <c r="G59" s="526">
        <f t="shared" si="17"/>
        <v>2464.1200000000003</v>
      </c>
      <c r="H59" s="570">
        <f t="shared" si="18"/>
        <v>1.5745986396765738E-3</v>
      </c>
      <c r="I59" s="526"/>
      <c r="O59" s="82">
        <v>1.05</v>
      </c>
      <c r="P59" s="82">
        <f t="shared" si="15"/>
        <v>30.891000000000002</v>
      </c>
      <c r="Q59" s="2"/>
      <c r="T59" s="92" t="s">
        <v>101</v>
      </c>
      <c r="U59" s="129" t="s">
        <v>129</v>
      </c>
      <c r="W59" s="132">
        <v>42713</v>
      </c>
      <c r="X59" s="10">
        <v>30.43</v>
      </c>
      <c r="Y59" s="10">
        <v>30.95</v>
      </c>
      <c r="Z59" s="10">
        <v>30.04</v>
      </c>
      <c r="AA59" s="10">
        <v>30.95</v>
      </c>
      <c r="AB59" s="94">
        <v>4674500</v>
      </c>
      <c r="AC59" s="10">
        <v>30.69</v>
      </c>
      <c r="AD59" s="2">
        <f t="shared" si="0"/>
        <v>0.91000000000000014</v>
      </c>
      <c r="AE59" s="137">
        <f t="shared" si="1"/>
        <v>1.8924302788844605E-2</v>
      </c>
      <c r="AF59" s="672">
        <f t="shared" si="2"/>
        <v>3.3783783783782884E-3</v>
      </c>
      <c r="AI59" s="673">
        <v>42705</v>
      </c>
      <c r="AJ59" s="671">
        <v>222.75</v>
      </c>
      <c r="AK59" s="671">
        <v>30</v>
      </c>
    </row>
    <row r="60" spans="2:37" x14ac:dyDescent="0.25">
      <c r="B60" s="575">
        <v>42585</v>
      </c>
      <c r="C60" s="524">
        <v>100</v>
      </c>
      <c r="D60" s="526">
        <v>24.641200000000001</v>
      </c>
      <c r="E60" s="526">
        <v>24.49</v>
      </c>
      <c r="F60" s="526">
        <f t="shared" si="16"/>
        <v>-15.120000000000289</v>
      </c>
      <c r="G60" s="526">
        <f t="shared" si="17"/>
        <v>2464.1200000000003</v>
      </c>
      <c r="H60" s="570">
        <f t="shared" si="18"/>
        <v>-6.1360648020389787E-3</v>
      </c>
      <c r="I60" s="526"/>
      <c r="O60" s="82">
        <v>1.04</v>
      </c>
      <c r="P60" s="82">
        <f t="shared" si="15"/>
        <v>30.596800000000002</v>
      </c>
      <c r="Q60" s="2"/>
      <c r="T60" s="92" t="s">
        <v>102</v>
      </c>
      <c r="U60" s="129">
        <v>33.78</v>
      </c>
      <c r="W60" s="132">
        <v>42712</v>
      </c>
      <c r="X60" s="10">
        <v>29.92</v>
      </c>
      <c r="Y60" s="10">
        <v>30.75</v>
      </c>
      <c r="Z60" s="10">
        <v>29.72</v>
      </c>
      <c r="AA60" s="10">
        <v>30.37</v>
      </c>
      <c r="AB60" s="94">
        <v>4430700</v>
      </c>
      <c r="AC60" s="10">
        <v>30.12</v>
      </c>
      <c r="AD60" s="2">
        <f t="shared" si="0"/>
        <v>1.0300000000000011</v>
      </c>
      <c r="AE60" s="137">
        <f t="shared" si="1"/>
        <v>2.2056328469630238E-2</v>
      </c>
      <c r="AF60" s="672">
        <f t="shared" si="2"/>
        <v>-2.0948180815876571E-2</v>
      </c>
      <c r="AI60" s="673">
        <v>42704</v>
      </c>
      <c r="AJ60" s="671">
        <v>222</v>
      </c>
      <c r="AK60" s="671">
        <v>15</v>
      </c>
    </row>
    <row r="61" spans="2:37" x14ac:dyDescent="0.25">
      <c r="B61" s="575">
        <v>42586</v>
      </c>
      <c r="C61" s="524">
        <v>200</v>
      </c>
      <c r="D61" s="526">
        <v>23.6431</v>
      </c>
      <c r="E61" s="526">
        <v>21.43</v>
      </c>
      <c r="F61" s="526">
        <f t="shared" si="16"/>
        <v>-442.62000000000012</v>
      </c>
      <c r="G61" s="526">
        <f t="shared" si="17"/>
        <v>4728.62</v>
      </c>
      <c r="H61" s="570">
        <f t="shared" si="18"/>
        <v>-9.360447657033133E-2</v>
      </c>
      <c r="I61" s="526"/>
      <c r="O61" s="82">
        <v>1.03</v>
      </c>
      <c r="P61" s="82">
        <f t="shared" si="15"/>
        <v>30.302600000000002</v>
      </c>
      <c r="Q61" s="2"/>
      <c r="T61" s="92" t="s">
        <v>103</v>
      </c>
      <c r="U61" s="129">
        <v>0.84249399999999997</v>
      </c>
      <c r="W61" s="132">
        <v>42711</v>
      </c>
      <c r="X61" s="10">
        <v>28.56</v>
      </c>
      <c r="Y61" s="10">
        <v>30.11</v>
      </c>
      <c r="Z61" s="10">
        <v>28.5</v>
      </c>
      <c r="AA61" s="10">
        <v>29.72</v>
      </c>
      <c r="AB61" s="94">
        <v>6748400</v>
      </c>
      <c r="AC61" s="10">
        <v>29.47</v>
      </c>
      <c r="AD61" s="2">
        <f t="shared" si="0"/>
        <v>1.6099999999999994</v>
      </c>
      <c r="AE61" s="137">
        <f t="shared" si="1"/>
        <v>4.0240028238616388E-2</v>
      </c>
      <c r="AF61" s="672">
        <f t="shared" si="2"/>
        <v>-1.1982570806100212E-2</v>
      </c>
      <c r="AI61" s="673">
        <v>42703</v>
      </c>
      <c r="AJ61" s="671">
        <v>226.75</v>
      </c>
      <c r="AK61" s="671" t="s">
        <v>526</v>
      </c>
    </row>
    <row r="62" spans="2:37" x14ac:dyDescent="0.25">
      <c r="B62" s="575">
        <v>42586</v>
      </c>
      <c r="C62" s="524">
        <v>300</v>
      </c>
      <c r="D62" s="526">
        <v>22.735399999999998</v>
      </c>
      <c r="E62" s="526">
        <v>21.43</v>
      </c>
      <c r="F62" s="526">
        <f t="shared" si="16"/>
        <v>-391.61999999999966</v>
      </c>
      <c r="G62" s="526">
        <f t="shared" si="17"/>
        <v>6820.62</v>
      </c>
      <c r="H62" s="570">
        <f t="shared" si="18"/>
        <v>-5.7417067656605945E-2</v>
      </c>
      <c r="I62" s="526"/>
      <c r="O62" s="82">
        <v>1.02</v>
      </c>
      <c r="P62" s="82">
        <f t="shared" si="15"/>
        <v>30.008400000000002</v>
      </c>
      <c r="Q62" s="2"/>
      <c r="T62" s="92" t="s">
        <v>122</v>
      </c>
      <c r="U62" s="129" t="s">
        <v>479</v>
      </c>
      <c r="W62" s="132">
        <v>42710</v>
      </c>
      <c r="X62" s="10">
        <v>28.29</v>
      </c>
      <c r="Y62" s="10">
        <v>28.78</v>
      </c>
      <c r="Z62" s="10">
        <v>27.82</v>
      </c>
      <c r="AA62" s="10">
        <v>28.57</v>
      </c>
      <c r="AB62" s="94">
        <v>6881700</v>
      </c>
      <c r="AC62" s="10">
        <v>28.33</v>
      </c>
      <c r="AD62" s="2">
        <f t="shared" si="0"/>
        <v>0.96000000000000085</v>
      </c>
      <c r="AE62" s="137">
        <f t="shared" si="1"/>
        <v>-3.5285815102337192E-4</v>
      </c>
      <c r="AF62" s="672">
        <f t="shared" si="2"/>
        <v>2.0000000000000018E-2</v>
      </c>
      <c r="AI62" s="673">
        <v>42702</v>
      </c>
      <c r="AJ62" s="671">
        <v>229.5</v>
      </c>
      <c r="AK62" s="671">
        <v>15</v>
      </c>
    </row>
    <row r="63" spans="2:37" x14ac:dyDescent="0.25">
      <c r="B63" s="575">
        <v>42591</v>
      </c>
      <c r="C63" s="524">
        <v>300</v>
      </c>
      <c r="D63" s="526">
        <v>22.735399999999998</v>
      </c>
      <c r="E63" s="526">
        <v>22.12</v>
      </c>
      <c r="F63" s="526">
        <f t="shared" si="16"/>
        <v>-184.61999999999927</v>
      </c>
      <c r="G63" s="526">
        <f t="shared" si="17"/>
        <v>6820.62</v>
      </c>
      <c r="H63" s="570">
        <f t="shared" si="18"/>
        <v>-2.7067920511624936E-2</v>
      </c>
      <c r="I63" s="526"/>
      <c r="O63" s="82">
        <v>1.01</v>
      </c>
      <c r="P63" s="82">
        <f t="shared" si="15"/>
        <v>29.714200000000002</v>
      </c>
      <c r="Q63" s="2"/>
      <c r="T63" s="92"/>
      <c r="U63" s="129"/>
      <c r="W63" s="132">
        <v>42709</v>
      </c>
      <c r="X63" s="10">
        <v>28.79</v>
      </c>
      <c r="Y63" s="10">
        <v>29.29</v>
      </c>
      <c r="Z63" s="10">
        <v>28.3</v>
      </c>
      <c r="AA63" s="10">
        <v>28.58</v>
      </c>
      <c r="AB63" s="94">
        <v>7761800</v>
      </c>
      <c r="AC63" s="10">
        <v>28.34</v>
      </c>
      <c r="AD63" s="2">
        <f t="shared" si="0"/>
        <v>0.98999999999999844</v>
      </c>
      <c r="AE63" s="137">
        <f t="shared" si="1"/>
        <v>6.7495559502663838E-3</v>
      </c>
      <c r="AF63" s="672">
        <f t="shared" si="2"/>
        <v>0</v>
      </c>
      <c r="AI63" s="673">
        <v>42699</v>
      </c>
      <c r="AJ63" s="671">
        <v>225</v>
      </c>
      <c r="AK63" s="671" t="s">
        <v>526</v>
      </c>
    </row>
    <row r="64" spans="2:37" x14ac:dyDescent="0.25">
      <c r="B64" s="575">
        <v>42593</v>
      </c>
      <c r="C64" s="524">
        <v>300</v>
      </c>
      <c r="D64" s="526">
        <v>22.735399999999998</v>
      </c>
      <c r="E64" s="526">
        <v>21.57</v>
      </c>
      <c r="F64" s="526">
        <f t="shared" ref="F64:F87" si="19">C64*(E64-D64)</f>
        <v>-349.61999999999944</v>
      </c>
      <c r="G64" s="526">
        <f t="shared" ref="G64:G87" si="20">D64*C64</f>
        <v>6820.62</v>
      </c>
      <c r="H64" s="570">
        <f t="shared" ref="H64:H87" si="21">(E64-D64)/D64</f>
        <v>-5.1259269685160515E-2</v>
      </c>
      <c r="I64" s="526"/>
      <c r="O64" s="82">
        <v>1</v>
      </c>
      <c r="P64" s="82">
        <f t="shared" si="15"/>
        <v>29.42</v>
      </c>
      <c r="Q64" s="2"/>
      <c r="T64" s="92" t="s">
        <v>105</v>
      </c>
      <c r="U64" s="129" t="s">
        <v>685</v>
      </c>
      <c r="W64" s="132">
        <v>42706</v>
      </c>
      <c r="X64" s="10">
        <v>28.79</v>
      </c>
      <c r="Y64" s="10">
        <v>29.61</v>
      </c>
      <c r="Z64" s="10">
        <v>28.06</v>
      </c>
      <c r="AA64" s="10">
        <v>28.38</v>
      </c>
      <c r="AB64" s="94">
        <v>5097300</v>
      </c>
      <c r="AC64" s="10">
        <v>28.15</v>
      </c>
      <c r="AD64" s="2">
        <f t="shared" si="0"/>
        <v>1.5500000000000007</v>
      </c>
      <c r="AE64" s="137">
        <f t="shared" si="1"/>
        <v>-1.1587078651685512E-2</v>
      </c>
      <c r="AF64" s="672">
        <f t="shared" si="2"/>
        <v>-2.5974025974025983E-2</v>
      </c>
      <c r="AI64" s="673">
        <v>42697</v>
      </c>
      <c r="AJ64" s="671">
        <v>225</v>
      </c>
      <c r="AK64" s="671" t="s">
        <v>526</v>
      </c>
    </row>
    <row r="65" spans="2:37" x14ac:dyDescent="0.25">
      <c r="B65" s="575">
        <v>42597</v>
      </c>
      <c r="C65" s="524">
        <v>230</v>
      </c>
      <c r="D65" s="526">
        <v>22.674800000000001</v>
      </c>
      <c r="E65" s="526">
        <v>23.2</v>
      </c>
      <c r="F65" s="526">
        <f t="shared" si="19"/>
        <v>120.79599999999957</v>
      </c>
      <c r="G65" s="526">
        <f t="shared" si="20"/>
        <v>5215.2040000000006</v>
      </c>
      <c r="H65" s="570">
        <f t="shared" si="21"/>
        <v>2.3162277065288252E-2</v>
      </c>
      <c r="I65" s="526"/>
      <c r="O65" s="82">
        <v>0.99</v>
      </c>
      <c r="P65" s="82">
        <f t="shared" si="15"/>
        <v>29.125800000000002</v>
      </c>
      <c r="Q65" s="2"/>
      <c r="T65" s="92" t="s">
        <v>106</v>
      </c>
      <c r="U65" s="129" t="s">
        <v>569</v>
      </c>
      <c r="W65" s="132">
        <v>42705</v>
      </c>
      <c r="X65" s="10">
        <v>29.09</v>
      </c>
      <c r="Y65" s="10">
        <v>29.95</v>
      </c>
      <c r="Z65" s="10">
        <v>28.56</v>
      </c>
      <c r="AA65" s="10">
        <v>28.72</v>
      </c>
      <c r="AB65" s="94">
        <v>5958900</v>
      </c>
      <c r="AC65" s="10">
        <v>28.48</v>
      </c>
      <c r="AD65" s="2">
        <f t="shared" si="0"/>
        <v>1.3900000000000006</v>
      </c>
      <c r="AE65" s="137">
        <f t="shared" si="1"/>
        <v>-7.6655052264807955E-3</v>
      </c>
      <c r="AF65" s="672">
        <f t="shared" si="2"/>
        <v>-7.6923076923076872E-2</v>
      </c>
      <c r="AI65" s="673">
        <v>42696</v>
      </c>
      <c r="AJ65" s="671">
        <v>231</v>
      </c>
      <c r="AK65" s="671">
        <v>165</v>
      </c>
    </row>
    <row r="66" spans="2:37" x14ac:dyDescent="0.25">
      <c r="B66" s="575">
        <v>42599</v>
      </c>
      <c r="C66" s="524">
        <v>200</v>
      </c>
      <c r="D66" s="526">
        <v>22.554099999999998</v>
      </c>
      <c r="E66" s="526">
        <v>23.31</v>
      </c>
      <c r="F66" s="526">
        <f t="shared" si="19"/>
        <v>151.18000000000009</v>
      </c>
      <c r="G66" s="526">
        <f t="shared" si="20"/>
        <v>4510.82</v>
      </c>
      <c r="H66" s="570">
        <f t="shared" si="21"/>
        <v>3.3514970670521123E-2</v>
      </c>
      <c r="I66" s="526">
        <v>22</v>
      </c>
      <c r="O66" s="82">
        <v>0.98</v>
      </c>
      <c r="P66" s="82">
        <f t="shared" si="15"/>
        <v>28.831600000000002</v>
      </c>
      <c r="Q66" s="2"/>
      <c r="T66" s="92" t="s">
        <v>107</v>
      </c>
      <c r="U66" s="130">
        <v>5302280</v>
      </c>
      <c r="W66" s="132">
        <v>42704</v>
      </c>
      <c r="X66" s="10">
        <v>27.98</v>
      </c>
      <c r="Y66" s="10">
        <v>29.31</v>
      </c>
      <c r="Z66" s="10">
        <v>27.82</v>
      </c>
      <c r="AA66" s="10">
        <v>28.94</v>
      </c>
      <c r="AB66" s="94">
        <v>6436700</v>
      </c>
      <c r="AC66" s="10">
        <v>28.7</v>
      </c>
      <c r="AD66" s="2">
        <f t="shared" si="0"/>
        <v>1.4899999999999984</v>
      </c>
      <c r="AE66" s="137">
        <f t="shared" si="1"/>
        <v>5.5147058823529438E-2</v>
      </c>
      <c r="AF66" s="672">
        <f t="shared" si="2"/>
        <v>-9.8911968348169843E-3</v>
      </c>
      <c r="AI66" s="673">
        <v>42695</v>
      </c>
      <c r="AJ66" s="671">
        <v>250.25</v>
      </c>
      <c r="AK66" s="671">
        <v>15</v>
      </c>
    </row>
    <row r="67" spans="2:37" x14ac:dyDescent="0.25">
      <c r="B67" s="575">
        <v>42600</v>
      </c>
      <c r="C67" s="524">
        <v>200</v>
      </c>
      <c r="D67" s="526">
        <v>22.554099999999998</v>
      </c>
      <c r="E67" s="526">
        <v>22.74</v>
      </c>
      <c r="F67" s="526">
        <f t="shared" si="19"/>
        <v>37.180000000000035</v>
      </c>
      <c r="G67" s="526">
        <f t="shared" si="20"/>
        <v>4510.82</v>
      </c>
      <c r="H67" s="570">
        <f t="shared" si="21"/>
        <v>8.2424038201480074E-3</v>
      </c>
      <c r="I67" s="526"/>
      <c r="O67" s="82">
        <v>0.97</v>
      </c>
      <c r="P67" s="82">
        <f t="shared" si="15"/>
        <v>28.537400000000002</v>
      </c>
      <c r="T67" s="92" t="s">
        <v>110</v>
      </c>
      <c r="U67" s="130">
        <v>5490750</v>
      </c>
      <c r="W67" s="132">
        <v>42703</v>
      </c>
      <c r="X67" s="10">
        <v>27.9</v>
      </c>
      <c r="Y67" s="10">
        <v>28.13</v>
      </c>
      <c r="Z67" s="10">
        <v>27.34</v>
      </c>
      <c r="AA67" s="10">
        <v>27.43</v>
      </c>
      <c r="AB67" s="94">
        <v>3933600</v>
      </c>
      <c r="AC67" s="10">
        <v>27.2</v>
      </c>
      <c r="AD67" s="2">
        <f>Y67-Z67</f>
        <v>0.78999999999999915</v>
      </c>
      <c r="AE67" s="137" t="e">
        <f>AC67/#REF!-1</f>
        <v>#REF!</v>
      </c>
      <c r="AF67" s="672">
        <f t="shared" ref="AF67:AF69" si="22">AJ67/AJ68-1</f>
        <v>3.9721946375372852E-3</v>
      </c>
      <c r="AI67" s="673">
        <v>42692</v>
      </c>
      <c r="AJ67" s="671">
        <v>252.75</v>
      </c>
      <c r="AK67" s="671">
        <v>30</v>
      </c>
    </row>
    <row r="68" spans="2:37" x14ac:dyDescent="0.25">
      <c r="B68" s="575">
        <v>42601</v>
      </c>
      <c r="C68" s="524">
        <v>200</v>
      </c>
      <c r="D68" s="526">
        <v>22.554099999999998</v>
      </c>
      <c r="E68" s="526">
        <v>23.02</v>
      </c>
      <c r="F68" s="526">
        <f t="shared" si="19"/>
        <v>93.180000000000263</v>
      </c>
      <c r="G68" s="526">
        <f t="shared" si="20"/>
        <v>4510.82</v>
      </c>
      <c r="H68" s="570">
        <f t="shared" si="21"/>
        <v>2.06569980624366E-2</v>
      </c>
      <c r="I68" s="526"/>
      <c r="O68" s="82">
        <v>0.96</v>
      </c>
      <c r="P68" s="82">
        <f t="shared" si="15"/>
        <v>28.243200000000002</v>
      </c>
      <c r="T68" s="92" t="s">
        <v>108</v>
      </c>
      <c r="U68" s="129" t="s">
        <v>686</v>
      </c>
      <c r="W68" s="132">
        <v>42702</v>
      </c>
      <c r="X68" s="10">
        <v>28.46</v>
      </c>
      <c r="Y68" s="10">
        <v>28.79</v>
      </c>
      <c r="Z68" s="10">
        <v>27.91</v>
      </c>
      <c r="AA68" s="10">
        <v>28.19</v>
      </c>
      <c r="AB68" s="94">
        <v>3159800</v>
      </c>
      <c r="AC68" s="10">
        <v>27.96</v>
      </c>
      <c r="AD68" s="2" t="e">
        <f>#REF!-#REF!</f>
        <v>#REF!</v>
      </c>
      <c r="AE68" s="137" t="e">
        <f>#REF!/AC69-1</f>
        <v>#REF!</v>
      </c>
      <c r="AF68" s="672">
        <f t="shared" si="22"/>
        <v>1.4098690835850913E-2</v>
      </c>
      <c r="AI68" s="673">
        <v>42691</v>
      </c>
      <c r="AJ68" s="671">
        <v>251.75</v>
      </c>
      <c r="AK68" s="671">
        <v>45</v>
      </c>
    </row>
    <row r="69" spans="2:37" x14ac:dyDescent="0.25">
      <c r="B69" s="575">
        <v>42604</v>
      </c>
      <c r="C69" s="524">
        <v>200</v>
      </c>
      <c r="D69" s="526">
        <v>22.554099999999998</v>
      </c>
      <c r="E69" s="526">
        <v>23.69</v>
      </c>
      <c r="F69" s="526">
        <f t="shared" si="19"/>
        <v>227.1800000000006</v>
      </c>
      <c r="G69" s="526">
        <f t="shared" si="20"/>
        <v>4510.82</v>
      </c>
      <c r="H69" s="570">
        <f t="shared" si="21"/>
        <v>5.0363348570769975E-2</v>
      </c>
      <c r="I69" s="526"/>
      <c r="O69" s="82">
        <v>0.95</v>
      </c>
      <c r="P69" s="82">
        <f t="shared" si="15"/>
        <v>27.949000000000002</v>
      </c>
      <c r="T69" s="92" t="s">
        <v>111</v>
      </c>
      <c r="U69" s="129" t="s">
        <v>129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  <c r="AF69" s="672">
        <f t="shared" si="22"/>
        <v>2.5826446280991844E-2</v>
      </c>
      <c r="AI69" s="673">
        <v>42690</v>
      </c>
      <c r="AJ69" s="671">
        <v>248.25</v>
      </c>
      <c r="AK69" s="671" t="s">
        <v>526</v>
      </c>
    </row>
    <row r="70" spans="2:37" x14ac:dyDescent="0.25">
      <c r="B70" s="575">
        <v>42605</v>
      </c>
      <c r="C70" s="524">
        <v>200</v>
      </c>
      <c r="D70" s="526">
        <v>22.554099999999998</v>
      </c>
      <c r="E70" s="526">
        <v>24.83</v>
      </c>
      <c r="F70" s="526">
        <f t="shared" si="19"/>
        <v>455.18</v>
      </c>
      <c r="G70" s="526">
        <f t="shared" si="20"/>
        <v>4510.82</v>
      </c>
      <c r="H70" s="570">
        <f t="shared" si="21"/>
        <v>0.10090848227151605</v>
      </c>
      <c r="I70" s="526"/>
      <c r="O70" s="82">
        <v>0.94</v>
      </c>
      <c r="P70" s="82">
        <f t="shared" si="15"/>
        <v>27.654800000000002</v>
      </c>
      <c r="T70" s="92" t="s">
        <v>112</v>
      </c>
      <c r="U70" s="129">
        <v>-1.19</v>
      </c>
      <c r="AI70" s="673">
        <v>42689</v>
      </c>
      <c r="AJ70" s="671">
        <v>242</v>
      </c>
      <c r="AK70" s="671">
        <v>15</v>
      </c>
    </row>
    <row r="71" spans="2:37" x14ac:dyDescent="0.25">
      <c r="B71" s="575">
        <v>42606</v>
      </c>
      <c r="C71" s="524">
        <v>200</v>
      </c>
      <c r="D71" s="526">
        <v>22.554099999999998</v>
      </c>
      <c r="E71" s="526">
        <v>24.04</v>
      </c>
      <c r="F71" s="526">
        <f t="shared" si="19"/>
        <v>297.18000000000018</v>
      </c>
      <c r="G71" s="526">
        <f t="shared" si="20"/>
        <v>4510.82</v>
      </c>
      <c r="H71" s="570">
        <f t="shared" si="21"/>
        <v>6.588159137363056E-2</v>
      </c>
      <c r="I71" s="526"/>
      <c r="O71" s="82">
        <v>0.93</v>
      </c>
      <c r="P71" s="82">
        <f t="shared" si="15"/>
        <v>27.360600000000002</v>
      </c>
      <c r="T71" s="92" t="s">
        <v>109</v>
      </c>
      <c r="U71" s="129" t="s">
        <v>687</v>
      </c>
      <c r="AI71" s="673">
        <v>42688</v>
      </c>
      <c r="AJ71" s="671">
        <v>234.5</v>
      </c>
      <c r="AK71" s="671">
        <v>15</v>
      </c>
    </row>
    <row r="72" spans="2:37" x14ac:dyDescent="0.25">
      <c r="B72" s="575">
        <v>42607</v>
      </c>
      <c r="C72" s="524">
        <v>200</v>
      </c>
      <c r="D72" s="526">
        <v>22.554099999999998</v>
      </c>
      <c r="E72" s="526">
        <v>24.23</v>
      </c>
      <c r="F72" s="526">
        <f t="shared" si="19"/>
        <v>335.1800000000004</v>
      </c>
      <c r="G72" s="526">
        <f t="shared" si="20"/>
        <v>4510.82</v>
      </c>
      <c r="H72" s="570">
        <f t="shared" si="21"/>
        <v>7.4305780323754983E-2</v>
      </c>
      <c r="I72" s="526"/>
      <c r="O72" s="82">
        <v>0.92</v>
      </c>
      <c r="P72" s="82">
        <f t="shared" si="15"/>
        <v>27.066400000000002</v>
      </c>
      <c r="AI72" s="673">
        <v>42685</v>
      </c>
      <c r="AJ72" s="671">
        <v>231.25</v>
      </c>
      <c r="AK72" s="671" t="s">
        <v>526</v>
      </c>
    </row>
    <row r="73" spans="2:37" x14ac:dyDescent="0.25">
      <c r="B73" s="575">
        <v>42608</v>
      </c>
      <c r="C73" s="524">
        <v>200</v>
      </c>
      <c r="D73" s="526">
        <v>22.554099999999998</v>
      </c>
      <c r="E73" s="526">
        <v>23.98</v>
      </c>
      <c r="F73" s="526">
        <f t="shared" si="19"/>
        <v>285.1800000000004</v>
      </c>
      <c r="G73" s="526">
        <f t="shared" si="20"/>
        <v>4510.82</v>
      </c>
      <c r="H73" s="570">
        <f t="shared" si="21"/>
        <v>6.3221321178854498E-2</v>
      </c>
      <c r="I73" s="526"/>
      <c r="O73" s="82">
        <v>0.91</v>
      </c>
      <c r="P73" s="82">
        <f t="shared" si="15"/>
        <v>26.772200000000002</v>
      </c>
      <c r="AI73" s="673">
        <v>42684</v>
      </c>
      <c r="AJ73" s="671">
        <v>227</v>
      </c>
      <c r="AK73" s="671">
        <v>30</v>
      </c>
    </row>
    <row r="74" spans="2:37" x14ac:dyDescent="0.25">
      <c r="B74" s="575">
        <v>42611</v>
      </c>
      <c r="C74" s="524">
        <v>200</v>
      </c>
      <c r="D74" s="526">
        <v>22.554099999999998</v>
      </c>
      <c r="E74" s="526">
        <v>24.98</v>
      </c>
      <c r="F74" s="526">
        <f t="shared" si="19"/>
        <v>485.1800000000004</v>
      </c>
      <c r="G74" s="526">
        <f t="shared" si="20"/>
        <v>4510.82</v>
      </c>
      <c r="H74" s="570">
        <f t="shared" si="21"/>
        <v>0.10755915775845644</v>
      </c>
      <c r="I74" s="526"/>
      <c r="O74" s="82">
        <v>0.9</v>
      </c>
      <c r="P74" s="82">
        <f t="shared" si="15"/>
        <v>26.478000000000002</v>
      </c>
      <c r="AI74" s="673">
        <v>42683</v>
      </c>
      <c r="AJ74" s="671">
        <v>224.25</v>
      </c>
      <c r="AK74" s="671" t="s">
        <v>526</v>
      </c>
    </row>
    <row r="75" spans="2:37" x14ac:dyDescent="0.25">
      <c r="B75" s="575">
        <v>42612</v>
      </c>
      <c r="C75" s="524">
        <v>200</v>
      </c>
      <c r="D75" s="526">
        <v>22.554099999999998</v>
      </c>
      <c r="E75" s="526">
        <v>26.17</v>
      </c>
      <c r="F75" s="526">
        <f t="shared" si="19"/>
        <v>723.18000000000075</v>
      </c>
      <c r="G75" s="526">
        <f t="shared" si="20"/>
        <v>4510.82</v>
      </c>
      <c r="H75" s="570">
        <f t="shared" si="21"/>
        <v>0.16032118328818279</v>
      </c>
      <c r="I75" s="526"/>
      <c r="AI75" s="673">
        <v>42682</v>
      </c>
      <c r="AJ75" s="671">
        <v>223.25</v>
      </c>
      <c r="AK75" s="671" t="s">
        <v>526</v>
      </c>
    </row>
    <row r="76" spans="2:37" x14ac:dyDescent="0.25">
      <c r="B76" s="575">
        <v>42614</v>
      </c>
      <c r="C76" s="524">
        <v>200</v>
      </c>
      <c r="D76" s="526">
        <v>22.104099999999999</v>
      </c>
      <c r="E76" s="526">
        <v>25.6</v>
      </c>
      <c r="F76" s="526">
        <f t="shared" si="19"/>
        <v>699.18000000000052</v>
      </c>
      <c r="G76" s="526">
        <f t="shared" si="20"/>
        <v>4420.82</v>
      </c>
      <c r="H76" s="570">
        <f t="shared" si="21"/>
        <v>0.15815617917038027</v>
      </c>
      <c r="I76" s="526" t="s">
        <v>188</v>
      </c>
      <c r="AI76" s="673">
        <v>42681</v>
      </c>
      <c r="AJ76" s="671">
        <v>223.5</v>
      </c>
      <c r="AK76" s="671">
        <v>45</v>
      </c>
    </row>
    <row r="77" spans="2:37" x14ac:dyDescent="0.25">
      <c r="B77" s="575">
        <v>42615</v>
      </c>
      <c r="C77" s="524">
        <v>200</v>
      </c>
      <c r="D77" s="526">
        <v>22.104099999999999</v>
      </c>
      <c r="E77" s="526">
        <v>25.94</v>
      </c>
      <c r="F77" s="526">
        <f t="shared" si="19"/>
        <v>767.18000000000052</v>
      </c>
      <c r="G77" s="526">
        <f t="shared" si="20"/>
        <v>4420.82</v>
      </c>
      <c r="H77" s="570">
        <f t="shared" si="21"/>
        <v>0.17353794092498687</v>
      </c>
      <c r="I77" s="526"/>
      <c r="AI77" s="673">
        <v>42678</v>
      </c>
      <c r="AJ77" s="671">
        <v>223</v>
      </c>
      <c r="AK77" s="671">
        <v>45</v>
      </c>
    </row>
    <row r="78" spans="2:37" x14ac:dyDescent="0.25">
      <c r="B78" s="575">
        <v>42619</v>
      </c>
      <c r="C78" s="524">
        <v>200</v>
      </c>
      <c r="D78" s="526">
        <v>22.104099999999999</v>
      </c>
      <c r="E78" s="526">
        <v>25.65</v>
      </c>
      <c r="F78" s="526">
        <f t="shared" si="19"/>
        <v>709.18</v>
      </c>
      <c r="G78" s="526">
        <f t="shared" si="20"/>
        <v>4420.82</v>
      </c>
      <c r="H78" s="570">
        <f t="shared" si="21"/>
        <v>0.1604182029578223</v>
      </c>
      <c r="I78" s="526"/>
      <c r="AI78" s="673">
        <v>42677</v>
      </c>
      <c r="AJ78" s="671">
        <v>223.5</v>
      </c>
      <c r="AK78" s="671">
        <v>60</v>
      </c>
    </row>
    <row r="79" spans="2:37" x14ac:dyDescent="0.25">
      <c r="B79" s="575">
        <v>42620</v>
      </c>
      <c r="C79" s="524">
        <v>200</v>
      </c>
      <c r="D79" s="526">
        <v>22.1</v>
      </c>
      <c r="E79" s="526">
        <v>25.53</v>
      </c>
      <c r="F79" s="526">
        <f t="shared" si="19"/>
        <v>686</v>
      </c>
      <c r="G79" s="526">
        <f t="shared" si="20"/>
        <v>4420</v>
      </c>
      <c r="H79" s="570">
        <f t="shared" si="21"/>
        <v>0.15520361990950224</v>
      </c>
      <c r="I79" s="526"/>
      <c r="AI79" s="673">
        <v>42676</v>
      </c>
      <c r="AJ79" s="671">
        <v>226.75</v>
      </c>
      <c r="AK79" s="671">
        <v>15</v>
      </c>
    </row>
    <row r="80" spans="2:37" x14ac:dyDescent="0.25">
      <c r="B80" s="575">
        <v>42621</v>
      </c>
      <c r="C80" s="524">
        <v>160</v>
      </c>
      <c r="D80" s="526">
        <v>21.060300000000002</v>
      </c>
      <c r="E80" s="526">
        <v>25.96</v>
      </c>
      <c r="F80" s="526">
        <f t="shared" si="19"/>
        <v>783.95199999999988</v>
      </c>
      <c r="G80" s="526">
        <f t="shared" si="20"/>
        <v>3369.6480000000001</v>
      </c>
      <c r="H80" s="570">
        <f t="shared" si="21"/>
        <v>0.23265100687074727</v>
      </c>
      <c r="I80" s="526"/>
      <c r="AI80" s="673">
        <v>42675</v>
      </c>
      <c r="AJ80" s="671">
        <v>219.5</v>
      </c>
      <c r="AK80" s="671">
        <v>15</v>
      </c>
    </row>
    <row r="81" spans="2:37" x14ac:dyDescent="0.25">
      <c r="B81" s="575">
        <v>42622</v>
      </c>
      <c r="C81" s="524">
        <v>160</v>
      </c>
      <c r="D81" s="526">
        <v>21.060300000000002</v>
      </c>
      <c r="E81" s="526">
        <v>25</v>
      </c>
      <c r="F81" s="526">
        <f t="shared" si="19"/>
        <v>630.35199999999975</v>
      </c>
      <c r="G81" s="526">
        <f t="shared" si="20"/>
        <v>3369.6480000000001</v>
      </c>
      <c r="H81" s="570">
        <f t="shared" si="21"/>
        <v>0.18706761062283053</v>
      </c>
      <c r="I81" s="526"/>
      <c r="AI81" s="673">
        <v>42674</v>
      </c>
      <c r="AJ81" s="671">
        <v>220</v>
      </c>
      <c r="AK81" s="671">
        <v>30</v>
      </c>
    </row>
    <row r="82" spans="2:37" x14ac:dyDescent="0.25">
      <c r="B82" s="575">
        <v>42625</v>
      </c>
      <c r="C82" s="524">
        <v>160</v>
      </c>
      <c r="D82" s="526">
        <v>21.060300000000002</v>
      </c>
      <c r="E82" s="526">
        <v>25.51</v>
      </c>
      <c r="F82" s="526">
        <f t="shared" si="19"/>
        <v>711.952</v>
      </c>
      <c r="G82" s="526">
        <f t="shared" si="20"/>
        <v>3369.6480000000001</v>
      </c>
      <c r="H82" s="570">
        <f t="shared" si="21"/>
        <v>0.21128378987953636</v>
      </c>
      <c r="I82" s="526"/>
      <c r="AI82" s="673">
        <v>42671</v>
      </c>
      <c r="AJ82" s="671">
        <v>217.5</v>
      </c>
      <c r="AK82" s="671">
        <v>22</v>
      </c>
    </row>
    <row r="83" spans="2:37" x14ac:dyDescent="0.25">
      <c r="B83" s="575">
        <v>42626</v>
      </c>
      <c r="C83" s="524">
        <v>200</v>
      </c>
      <c r="D83" s="526">
        <v>21.764199999999999</v>
      </c>
      <c r="E83" s="526">
        <v>24.01</v>
      </c>
      <c r="F83" s="526">
        <f t="shared" si="19"/>
        <v>449.16000000000054</v>
      </c>
      <c r="G83" s="526">
        <f t="shared" si="20"/>
        <v>4352.84</v>
      </c>
      <c r="H83" s="570">
        <f t="shared" si="21"/>
        <v>0.10318780382462957</v>
      </c>
      <c r="I83" s="526" t="s">
        <v>296</v>
      </c>
      <c r="AI83" s="673">
        <v>42670</v>
      </c>
      <c r="AJ83" s="671">
        <v>215.75</v>
      </c>
      <c r="AK83" s="671" t="s">
        <v>526</v>
      </c>
    </row>
    <row r="84" spans="2:37" x14ac:dyDescent="0.25">
      <c r="B84" s="575">
        <v>42632</v>
      </c>
      <c r="C84" s="524">
        <v>200</v>
      </c>
      <c r="D84" s="526">
        <v>21.764199999999999</v>
      </c>
      <c r="E84" s="526">
        <v>23.68</v>
      </c>
      <c r="F84" s="526">
        <f t="shared" si="19"/>
        <v>383.1600000000002</v>
      </c>
      <c r="G84" s="526">
        <f t="shared" si="20"/>
        <v>4352.84</v>
      </c>
      <c r="H84" s="570">
        <f t="shared" si="21"/>
        <v>8.8025289236452572E-2</v>
      </c>
      <c r="I84" s="526"/>
      <c r="AI84" s="673">
        <v>42669</v>
      </c>
      <c r="AJ84" s="671">
        <v>213.5</v>
      </c>
      <c r="AK84" s="671" t="s">
        <v>526</v>
      </c>
    </row>
    <row r="85" spans="2:37" x14ac:dyDescent="0.25">
      <c r="B85" s="575">
        <v>42633</v>
      </c>
      <c r="C85" s="524">
        <v>200</v>
      </c>
      <c r="D85" s="526">
        <v>21.764199999999999</v>
      </c>
      <c r="E85" s="526">
        <v>23.3</v>
      </c>
      <c r="F85" s="526">
        <f t="shared" si="19"/>
        <v>307.16000000000037</v>
      </c>
      <c r="G85" s="526">
        <f t="shared" si="20"/>
        <v>4352.84</v>
      </c>
      <c r="H85" s="570">
        <f t="shared" si="21"/>
        <v>7.0565423953097381E-2</v>
      </c>
      <c r="I85" s="526"/>
      <c r="AI85" s="673">
        <v>42668</v>
      </c>
      <c r="AJ85" s="671">
        <v>212.75</v>
      </c>
      <c r="AK85" s="671">
        <v>15</v>
      </c>
    </row>
    <row r="86" spans="2:37" x14ac:dyDescent="0.25">
      <c r="B86" s="575">
        <v>42634</v>
      </c>
      <c r="C86" s="524">
        <v>200</v>
      </c>
      <c r="D86" s="526">
        <v>21.764199999999999</v>
      </c>
      <c r="E86" s="526">
        <v>23.03</v>
      </c>
      <c r="F86" s="526">
        <f t="shared" si="19"/>
        <v>253.16000000000045</v>
      </c>
      <c r="G86" s="526">
        <f t="shared" si="20"/>
        <v>4352.84</v>
      </c>
      <c r="H86" s="570">
        <f t="shared" si="21"/>
        <v>5.8159730199134466E-2</v>
      </c>
      <c r="I86" s="526"/>
      <c r="AI86" s="673">
        <v>42667</v>
      </c>
      <c r="AJ86" s="671">
        <v>212.5</v>
      </c>
      <c r="AK86" s="671" t="s">
        <v>526</v>
      </c>
    </row>
    <row r="87" spans="2:37" x14ac:dyDescent="0.25">
      <c r="B87" s="575">
        <v>42636</v>
      </c>
      <c r="C87" s="524">
        <v>200</v>
      </c>
      <c r="D87" s="526">
        <v>21.764199999999999</v>
      </c>
      <c r="E87" s="526">
        <v>22.63</v>
      </c>
      <c r="F87" s="526">
        <f t="shared" si="19"/>
        <v>173.16000000000003</v>
      </c>
      <c r="G87" s="526">
        <f t="shared" si="20"/>
        <v>4352.84</v>
      </c>
      <c r="H87" s="570">
        <f t="shared" si="21"/>
        <v>3.9780924637707805E-2</v>
      </c>
      <c r="I87" s="526"/>
      <c r="AI87" s="673">
        <v>42664</v>
      </c>
      <c r="AJ87" s="671">
        <v>212</v>
      </c>
      <c r="AK87" s="671" t="s">
        <v>526</v>
      </c>
    </row>
    <row r="88" spans="2:37" x14ac:dyDescent="0.25">
      <c r="B88" s="575">
        <v>42639</v>
      </c>
      <c r="C88" s="524">
        <v>300</v>
      </c>
      <c r="D88" s="526">
        <v>21.936299999999999</v>
      </c>
      <c r="E88" s="526">
        <v>22.64</v>
      </c>
      <c r="F88" s="526">
        <f t="shared" ref="F88:F93" si="23">C88*(E88-D88)</f>
        <v>211.11000000000041</v>
      </c>
      <c r="G88" s="526">
        <f t="shared" ref="G88:G93" si="24">D88*C88</f>
        <v>6580.8899999999994</v>
      </c>
      <c r="H88" s="570">
        <f t="shared" ref="H88:H93" si="25">(E88-D88)/D88</f>
        <v>3.2079247639756996E-2</v>
      </c>
      <c r="I88" s="526"/>
      <c r="AI88" s="673">
        <v>42663</v>
      </c>
      <c r="AJ88" s="671">
        <v>212.75</v>
      </c>
      <c r="AK88" s="671">
        <v>15</v>
      </c>
    </row>
    <row r="89" spans="2:37" x14ac:dyDescent="0.25">
      <c r="B89" s="575">
        <v>42639</v>
      </c>
      <c r="C89" s="524">
        <v>200</v>
      </c>
      <c r="D89" s="526">
        <v>21.494499999999999</v>
      </c>
      <c r="E89" s="526">
        <v>22.64</v>
      </c>
      <c r="F89" s="526">
        <f t="shared" si="23"/>
        <v>229.10000000000039</v>
      </c>
      <c r="G89" s="526">
        <f t="shared" si="24"/>
        <v>4298.8999999999996</v>
      </c>
      <c r="H89" s="570">
        <f t="shared" si="25"/>
        <v>5.3292702784433321E-2</v>
      </c>
      <c r="I89" s="526" t="s">
        <v>297</v>
      </c>
      <c r="AI89" s="673">
        <v>42662</v>
      </c>
      <c r="AJ89" s="671">
        <v>213</v>
      </c>
      <c r="AK89" s="671">
        <v>30</v>
      </c>
    </row>
    <row r="90" spans="2:37" x14ac:dyDescent="0.25">
      <c r="B90" s="575">
        <v>42640</v>
      </c>
      <c r="C90" s="524">
        <v>200</v>
      </c>
      <c r="D90" s="526">
        <v>21.494499999999999</v>
      </c>
      <c r="E90" s="526">
        <v>23.95</v>
      </c>
      <c r="F90" s="526">
        <f t="shared" si="23"/>
        <v>491.10000000000014</v>
      </c>
      <c r="G90" s="526">
        <f t="shared" si="24"/>
        <v>4298.8999999999996</v>
      </c>
      <c r="H90" s="570">
        <f t="shared" si="25"/>
        <v>0.11423852613459261</v>
      </c>
      <c r="I90" s="526"/>
      <c r="AI90" s="673">
        <v>42661</v>
      </c>
      <c r="AJ90" s="671">
        <v>214.5</v>
      </c>
      <c r="AK90" s="671" t="s">
        <v>526</v>
      </c>
    </row>
    <row r="91" spans="2:37" x14ac:dyDescent="0.25">
      <c r="B91" s="575">
        <v>42643</v>
      </c>
      <c r="C91" s="524">
        <v>140</v>
      </c>
      <c r="D91" s="526">
        <v>20.112300000000001</v>
      </c>
      <c r="E91" s="526">
        <v>24.2</v>
      </c>
      <c r="F91" s="526">
        <f t="shared" si="23"/>
        <v>572.27799999999979</v>
      </c>
      <c r="G91" s="526">
        <f t="shared" si="24"/>
        <v>2815.7220000000002</v>
      </c>
      <c r="H91" s="570">
        <f t="shared" si="25"/>
        <v>0.2032437861408192</v>
      </c>
      <c r="I91" s="526"/>
      <c r="AI91" s="673">
        <v>42660</v>
      </c>
      <c r="AJ91" s="671">
        <v>207</v>
      </c>
      <c r="AK91" s="671" t="s">
        <v>526</v>
      </c>
    </row>
    <row r="92" spans="2:37" x14ac:dyDescent="0.25">
      <c r="B92" s="575">
        <v>42643</v>
      </c>
      <c r="C92" s="524">
        <v>200</v>
      </c>
      <c r="D92" s="526">
        <v>21.368600000000001</v>
      </c>
      <c r="E92" s="526">
        <v>24.2</v>
      </c>
      <c r="F92" s="526">
        <f t="shared" si="23"/>
        <v>566.27999999999975</v>
      </c>
      <c r="G92" s="526">
        <f t="shared" si="24"/>
        <v>4273.72</v>
      </c>
      <c r="H92" s="570">
        <f t="shared" si="25"/>
        <v>0.13250283125707807</v>
      </c>
      <c r="I92" s="526" t="s">
        <v>297</v>
      </c>
      <c r="AI92" s="673">
        <v>42657</v>
      </c>
      <c r="AJ92" s="671">
        <v>205</v>
      </c>
      <c r="AK92" s="671">
        <v>15</v>
      </c>
    </row>
    <row r="93" spans="2:37" x14ac:dyDescent="0.25">
      <c r="B93" s="575">
        <v>42648</v>
      </c>
      <c r="C93" s="524">
        <v>200</v>
      </c>
      <c r="D93" s="526">
        <v>21.368600000000001</v>
      </c>
      <c r="E93" s="526">
        <v>24.86</v>
      </c>
      <c r="F93" s="526">
        <f t="shared" si="23"/>
        <v>698.27999999999975</v>
      </c>
      <c r="G93" s="526">
        <f t="shared" si="24"/>
        <v>4273.72</v>
      </c>
      <c r="H93" s="570">
        <f t="shared" si="25"/>
        <v>0.16338927210954385</v>
      </c>
      <c r="I93" s="526"/>
      <c r="AI93" s="673">
        <v>42656</v>
      </c>
      <c r="AJ93" s="671">
        <v>204.75</v>
      </c>
      <c r="AK93" s="671">
        <v>20</v>
      </c>
    </row>
    <row r="94" spans="2:37" x14ac:dyDescent="0.25">
      <c r="B94" s="575">
        <v>42649</v>
      </c>
      <c r="C94" s="524">
        <v>200</v>
      </c>
      <c r="D94" s="526">
        <v>21.368600000000001</v>
      </c>
      <c r="E94" s="526">
        <v>24.66</v>
      </c>
      <c r="F94" s="526">
        <f t="shared" ref="F94:F99" si="26">C94*(E94-D94)</f>
        <v>658.27999999999986</v>
      </c>
      <c r="G94" s="526">
        <f t="shared" ref="G94:G99" si="27">D94*C94</f>
        <v>4273.72</v>
      </c>
      <c r="H94" s="570">
        <f t="shared" ref="H94:H99" si="28">(E94-D94)/D94</f>
        <v>0.15402974457849364</v>
      </c>
      <c r="I94" s="526"/>
      <c r="AI94" s="673">
        <v>42655</v>
      </c>
      <c r="AJ94" s="671">
        <v>200.5</v>
      </c>
      <c r="AK94" s="671">
        <v>15</v>
      </c>
    </row>
    <row r="95" spans="2:37" x14ac:dyDescent="0.25">
      <c r="B95" s="575">
        <v>42650</v>
      </c>
      <c r="C95" s="524">
        <v>200</v>
      </c>
      <c r="D95" s="526">
        <v>21.368600000000001</v>
      </c>
      <c r="E95" s="526">
        <v>23.95</v>
      </c>
      <c r="F95" s="526">
        <f t="shared" si="26"/>
        <v>516.27999999999975</v>
      </c>
      <c r="G95" s="526">
        <f t="shared" si="27"/>
        <v>4273.72</v>
      </c>
      <c r="H95" s="570">
        <f t="shared" si="28"/>
        <v>0.12080342184326529</v>
      </c>
      <c r="I95" s="526"/>
      <c r="AI95" s="673">
        <v>42654</v>
      </c>
      <c r="AJ95" s="671">
        <v>199.5</v>
      </c>
      <c r="AK95" s="671" t="s">
        <v>526</v>
      </c>
    </row>
    <row r="96" spans="2:37" x14ac:dyDescent="0.25">
      <c r="B96" s="575">
        <v>42661</v>
      </c>
      <c r="C96" s="524">
        <v>300</v>
      </c>
      <c r="D96" s="526">
        <v>21.765699999999999</v>
      </c>
      <c r="E96" s="526">
        <v>23.46</v>
      </c>
      <c r="F96" s="526">
        <f t="shared" si="26"/>
        <v>508.29000000000059</v>
      </c>
      <c r="G96" s="526">
        <f t="shared" si="27"/>
        <v>6529.71</v>
      </c>
      <c r="H96" s="570">
        <f t="shared" si="28"/>
        <v>7.7842660700092436E-2</v>
      </c>
      <c r="I96" s="526">
        <v>21.5</v>
      </c>
      <c r="AI96" s="673">
        <v>42653</v>
      </c>
      <c r="AJ96" s="671">
        <v>197.5</v>
      </c>
      <c r="AK96" s="671">
        <v>15</v>
      </c>
    </row>
    <row r="97" spans="2:37" x14ac:dyDescent="0.25">
      <c r="B97" s="575">
        <v>42662</v>
      </c>
      <c r="C97" s="524">
        <v>300</v>
      </c>
      <c r="D97" s="526">
        <v>21.77</v>
      </c>
      <c r="E97" s="526">
        <v>24.15</v>
      </c>
      <c r="F97" s="526">
        <f t="shared" si="26"/>
        <v>713.99999999999966</v>
      </c>
      <c r="G97" s="526">
        <f t="shared" si="27"/>
        <v>6531</v>
      </c>
      <c r="H97" s="570">
        <f t="shared" si="28"/>
        <v>0.10932475884244369</v>
      </c>
      <c r="I97" s="526"/>
      <c r="AI97" s="673">
        <v>42650</v>
      </c>
      <c r="AJ97" s="671">
        <v>196.75</v>
      </c>
      <c r="AK97" s="671" t="s">
        <v>526</v>
      </c>
    </row>
    <row r="98" spans="2:37" x14ac:dyDescent="0.25">
      <c r="B98" s="575">
        <v>42663</v>
      </c>
      <c r="C98" s="524">
        <v>260</v>
      </c>
      <c r="D98" s="526">
        <v>21.302099999999999</v>
      </c>
      <c r="E98" s="526">
        <v>24.98</v>
      </c>
      <c r="F98" s="526">
        <f t="shared" si="26"/>
        <v>956.25400000000025</v>
      </c>
      <c r="G98" s="526">
        <f t="shared" si="27"/>
        <v>5538.5460000000003</v>
      </c>
      <c r="H98" s="570">
        <f t="shared" si="28"/>
        <v>0.17265433924354881</v>
      </c>
      <c r="I98" s="526"/>
      <c r="AI98" s="673">
        <v>42649</v>
      </c>
      <c r="AJ98" s="671">
        <v>195</v>
      </c>
      <c r="AK98" s="671" t="s">
        <v>526</v>
      </c>
    </row>
    <row r="99" spans="2:37" x14ac:dyDescent="0.25">
      <c r="B99" s="575">
        <v>42664</v>
      </c>
      <c r="C99" s="524">
        <v>260</v>
      </c>
      <c r="D99" s="526">
        <v>21.302099999999999</v>
      </c>
      <c r="E99" s="526">
        <v>25.92</v>
      </c>
      <c r="F99" s="526">
        <f t="shared" si="26"/>
        <v>1200.6540000000007</v>
      </c>
      <c r="G99" s="526">
        <f t="shared" si="27"/>
        <v>5538.5460000000003</v>
      </c>
      <c r="H99" s="570">
        <f t="shared" si="28"/>
        <v>0.21678144408297786</v>
      </c>
      <c r="I99" s="526"/>
      <c r="AI99" s="673">
        <v>42648</v>
      </c>
      <c r="AJ99" s="671">
        <v>195</v>
      </c>
      <c r="AK99" s="671" t="s">
        <v>526</v>
      </c>
    </row>
    <row r="100" spans="2:37" x14ac:dyDescent="0.25">
      <c r="B100" s="575">
        <v>42667</v>
      </c>
      <c r="C100" s="524">
        <v>260</v>
      </c>
      <c r="D100" s="526">
        <v>21.302099999999999</v>
      </c>
      <c r="E100" s="526">
        <v>25.35</v>
      </c>
      <c r="F100" s="526">
        <f t="shared" ref="F100:F105" si="29">C100*(E100-D100)</f>
        <v>1052.4540000000006</v>
      </c>
      <c r="G100" s="526">
        <f t="shared" ref="G100:G105" si="30">D100*C100</f>
        <v>5538.5460000000003</v>
      </c>
      <c r="H100" s="570">
        <f t="shared" ref="H100:H105" si="31">(E100-D100)/D100</f>
        <v>0.19002351880800494</v>
      </c>
      <c r="I100" s="526"/>
      <c r="AI100" s="673">
        <v>42647</v>
      </c>
      <c r="AJ100" s="671">
        <v>200.5</v>
      </c>
      <c r="AK100" s="671" t="s">
        <v>526</v>
      </c>
    </row>
    <row r="101" spans="2:37" x14ac:dyDescent="0.25">
      <c r="B101" s="575">
        <v>42674</v>
      </c>
      <c r="C101" s="524">
        <v>300</v>
      </c>
      <c r="D101" s="526">
        <v>21.6828</v>
      </c>
      <c r="E101" s="526">
        <v>24.01</v>
      </c>
      <c r="F101" s="526">
        <f t="shared" si="29"/>
        <v>698.16000000000042</v>
      </c>
      <c r="G101" s="526">
        <f t="shared" si="30"/>
        <v>6504.84</v>
      </c>
      <c r="H101" s="570">
        <f t="shared" si="31"/>
        <v>0.10732931171250951</v>
      </c>
      <c r="I101" s="526">
        <v>21.5</v>
      </c>
      <c r="AI101" s="673">
        <v>42646</v>
      </c>
      <c r="AJ101" s="671">
        <v>200.5</v>
      </c>
      <c r="AK101" s="671" t="s">
        <v>526</v>
      </c>
    </row>
    <row r="102" spans="2:37" x14ac:dyDescent="0.25">
      <c r="B102" s="575">
        <v>42675</v>
      </c>
      <c r="C102" s="524">
        <v>300</v>
      </c>
      <c r="D102" s="526">
        <v>21.6096</v>
      </c>
      <c r="E102" s="526">
        <v>24.89</v>
      </c>
      <c r="F102" s="526">
        <f t="shared" si="29"/>
        <v>984.12000000000012</v>
      </c>
      <c r="G102" s="526">
        <f t="shared" si="30"/>
        <v>6482.88</v>
      </c>
      <c r="H102" s="570">
        <f t="shared" si="31"/>
        <v>0.15180290241374206</v>
      </c>
      <c r="I102" s="526">
        <v>21.5</v>
      </c>
      <c r="AI102" s="673">
        <v>42647</v>
      </c>
      <c r="AJ102" s="671">
        <v>200.5</v>
      </c>
      <c r="AK102" s="671" t="s">
        <v>526</v>
      </c>
    </row>
    <row r="103" spans="2:37" x14ac:dyDescent="0.25">
      <c r="B103" s="575">
        <v>42677</v>
      </c>
      <c r="C103" s="524">
        <v>340</v>
      </c>
      <c r="D103" s="526">
        <v>21.5627</v>
      </c>
      <c r="E103" s="526">
        <v>22.6</v>
      </c>
      <c r="F103" s="526">
        <f t="shared" si="29"/>
        <v>352.68200000000064</v>
      </c>
      <c r="G103" s="526">
        <f t="shared" si="30"/>
        <v>7331.3180000000002</v>
      </c>
      <c r="H103" s="570">
        <f t="shared" si="31"/>
        <v>4.8106220464042164E-2</v>
      </c>
      <c r="I103" s="526"/>
      <c r="AI103" s="673">
        <v>42646</v>
      </c>
      <c r="AJ103" s="671">
        <v>200.5</v>
      </c>
      <c r="AK103" s="671" t="s">
        <v>526</v>
      </c>
    </row>
    <row r="104" spans="2:37" x14ac:dyDescent="0.25">
      <c r="B104" s="575">
        <v>42701</v>
      </c>
      <c r="C104" s="524">
        <v>240</v>
      </c>
      <c r="D104" s="526">
        <v>18.880800000000001</v>
      </c>
      <c r="E104" s="526">
        <v>28.55</v>
      </c>
      <c r="F104" s="526">
        <f t="shared" si="29"/>
        <v>2320.6080000000002</v>
      </c>
      <c r="G104" s="526">
        <f t="shared" si="30"/>
        <v>4531.3919999999998</v>
      </c>
      <c r="H104" s="570">
        <f t="shared" si="31"/>
        <v>0.51211813058768696</v>
      </c>
      <c r="I104" s="526"/>
    </row>
    <row r="105" spans="2:37" x14ac:dyDescent="0.25">
      <c r="B105" s="575">
        <v>42705</v>
      </c>
      <c r="C105" s="524">
        <v>200</v>
      </c>
      <c r="D105" s="526">
        <v>16.231100000000001</v>
      </c>
      <c r="E105" s="526">
        <v>28.94</v>
      </c>
      <c r="F105" s="526">
        <f t="shared" si="29"/>
        <v>2541.7799999999997</v>
      </c>
      <c r="G105" s="526">
        <f t="shared" si="30"/>
        <v>3246.2200000000003</v>
      </c>
      <c r="H105" s="570">
        <f t="shared" si="31"/>
        <v>0.78299683940090314</v>
      </c>
      <c r="I105" s="526" t="s">
        <v>325</v>
      </c>
    </row>
    <row r="106" spans="2:37" x14ac:dyDescent="0.25">
      <c r="B106" s="575">
        <v>42711</v>
      </c>
      <c r="C106" s="524">
        <v>0</v>
      </c>
      <c r="D106" s="526"/>
      <c r="E106" s="526"/>
      <c r="F106" s="526">
        <v>2733.66</v>
      </c>
      <c r="G106" s="526"/>
      <c r="H106" s="570"/>
      <c r="I106" s="526"/>
    </row>
    <row r="107" spans="2:37" x14ac:dyDescent="0.25">
      <c r="B107" s="156"/>
      <c r="C107" s="10"/>
      <c r="D107" s="40"/>
      <c r="E107" s="40"/>
      <c r="F107" s="40"/>
      <c r="G107" s="40"/>
      <c r="H107" s="230"/>
      <c r="I107" s="40"/>
    </row>
    <row r="108" spans="2:37" x14ac:dyDescent="0.25">
      <c r="B108" s="156"/>
      <c r="C108" s="10"/>
      <c r="D108" s="40"/>
      <c r="E108" s="40"/>
      <c r="F108" s="40"/>
      <c r="G108" s="40"/>
      <c r="H108" s="230"/>
      <c r="I108" s="40"/>
    </row>
    <row r="109" spans="2:37" x14ac:dyDescent="0.25">
      <c r="B109" s="156"/>
      <c r="C109" s="10"/>
      <c r="D109" s="40"/>
      <c r="E109" s="40"/>
      <c r="F109" s="40"/>
      <c r="G109" s="40"/>
      <c r="H109" s="230"/>
      <c r="I109" s="40"/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2" t="s">
        <v>1</v>
      </c>
      <c r="B114" s="576" t="s">
        <v>2</v>
      </c>
      <c r="C114" s="262" t="s">
        <v>4</v>
      </c>
      <c r="D114" s="263" t="s">
        <v>5</v>
      </c>
      <c r="E114" s="263" t="s">
        <v>94</v>
      </c>
      <c r="F114" s="263" t="s">
        <v>60</v>
      </c>
      <c r="G114" s="262" t="s">
        <v>3</v>
      </c>
      <c r="H114" s="262" t="s">
        <v>6</v>
      </c>
      <c r="I114" s="263" t="s">
        <v>7</v>
      </c>
      <c r="J114" s="263" t="s">
        <v>95</v>
      </c>
      <c r="K114" s="263" t="s">
        <v>61</v>
      </c>
      <c r="L114" s="262" t="s">
        <v>37</v>
      </c>
      <c r="M114" s="262" t="s">
        <v>38</v>
      </c>
    </row>
    <row r="115" spans="1:13" x14ac:dyDescent="0.25">
      <c r="A115" s="264" t="s">
        <v>229</v>
      </c>
      <c r="B115" s="577">
        <v>42545</v>
      </c>
      <c r="C115" s="260">
        <v>100</v>
      </c>
      <c r="D115" s="261">
        <v>25.25</v>
      </c>
      <c r="E115" s="261">
        <v>0</v>
      </c>
      <c r="F115" s="261">
        <f t="shared" ref="F115:F126" si="32">D115*C115+E115</f>
        <v>2525</v>
      </c>
      <c r="G115" s="577">
        <v>42577</v>
      </c>
      <c r="H115" s="266">
        <v>30</v>
      </c>
      <c r="I115" s="261">
        <v>25.81</v>
      </c>
      <c r="J115" s="261">
        <v>0.02</v>
      </c>
      <c r="K115" s="261">
        <f t="shared" ref="K115:K121" si="33">H115*I115-J115</f>
        <v>774.28</v>
      </c>
      <c r="L115" s="265">
        <v>42613</v>
      </c>
      <c r="M115" s="261">
        <v>90</v>
      </c>
    </row>
    <row r="116" spans="1:13" x14ac:dyDescent="0.25">
      <c r="A116" s="267" t="s">
        <v>71</v>
      </c>
      <c r="B116" s="577">
        <v>42580</v>
      </c>
      <c r="C116" s="260">
        <v>30</v>
      </c>
      <c r="D116" s="261">
        <v>23.78</v>
      </c>
      <c r="E116" s="261">
        <v>0</v>
      </c>
      <c r="F116" s="261">
        <f t="shared" si="32"/>
        <v>713.40000000000009</v>
      </c>
      <c r="G116" s="577">
        <v>42597</v>
      </c>
      <c r="H116" s="266">
        <v>70</v>
      </c>
      <c r="I116" s="261">
        <v>22.94</v>
      </c>
      <c r="J116" s="261">
        <v>0.38</v>
      </c>
      <c r="K116" s="261">
        <f t="shared" si="33"/>
        <v>1605.42</v>
      </c>
      <c r="L116" s="265">
        <v>42704</v>
      </c>
      <c r="M116" s="261">
        <v>102</v>
      </c>
    </row>
    <row r="117" spans="1:13" x14ac:dyDescent="0.25">
      <c r="A117" s="260"/>
      <c r="B117" s="577">
        <v>42586</v>
      </c>
      <c r="C117" s="260">
        <v>40</v>
      </c>
      <c r="D117" s="261">
        <v>22.65</v>
      </c>
      <c r="E117" s="261">
        <v>0</v>
      </c>
      <c r="F117" s="261">
        <f t="shared" si="32"/>
        <v>906</v>
      </c>
      <c r="G117" s="577">
        <v>42599</v>
      </c>
      <c r="H117" s="266">
        <v>30</v>
      </c>
      <c r="I117" s="261">
        <v>23.48</v>
      </c>
      <c r="J117" s="261">
        <v>0.02</v>
      </c>
      <c r="K117" s="261">
        <f t="shared" si="33"/>
        <v>704.38</v>
      </c>
      <c r="L117" s="260"/>
      <c r="M117" s="260"/>
    </row>
    <row r="118" spans="1:13" x14ac:dyDescent="0.25">
      <c r="A118" s="260"/>
      <c r="B118" s="577">
        <v>42586</v>
      </c>
      <c r="C118" s="260">
        <v>60</v>
      </c>
      <c r="D118" s="261">
        <v>22.65</v>
      </c>
      <c r="E118" s="261">
        <v>0</v>
      </c>
      <c r="F118" s="261">
        <f t="shared" si="32"/>
        <v>1359</v>
      </c>
      <c r="G118" s="577">
        <v>42621</v>
      </c>
      <c r="H118" s="266">
        <v>40</v>
      </c>
      <c r="I118" s="261">
        <v>26.28</v>
      </c>
      <c r="J118" s="261">
        <v>0.02</v>
      </c>
      <c r="K118" s="261">
        <f t="shared" si="33"/>
        <v>1051.18</v>
      </c>
      <c r="L118" s="260"/>
      <c r="M118" s="260"/>
    </row>
    <row r="119" spans="1:13" x14ac:dyDescent="0.25">
      <c r="A119" s="260"/>
      <c r="B119" s="577">
        <v>42586</v>
      </c>
      <c r="C119" s="260">
        <v>100</v>
      </c>
      <c r="D119" s="261">
        <v>20.92</v>
      </c>
      <c r="E119" s="261">
        <v>-0.5</v>
      </c>
      <c r="F119" s="261">
        <f t="shared" si="32"/>
        <v>2091.5</v>
      </c>
      <c r="G119" s="577">
        <v>42639</v>
      </c>
      <c r="H119" s="266">
        <v>100</v>
      </c>
      <c r="I119" s="261">
        <v>22.82</v>
      </c>
      <c r="J119" s="261">
        <v>0.05</v>
      </c>
      <c r="K119" s="261">
        <f t="shared" si="33"/>
        <v>2281.9499999999998</v>
      </c>
      <c r="L119" s="260"/>
      <c r="M119" s="260"/>
    </row>
    <row r="120" spans="1:13" x14ac:dyDescent="0.25">
      <c r="A120" s="260"/>
      <c r="B120" s="577">
        <v>42626</v>
      </c>
      <c r="C120" s="260">
        <v>40</v>
      </c>
      <c r="D120" s="261">
        <v>24.58</v>
      </c>
      <c r="E120" s="261">
        <v>0</v>
      </c>
      <c r="F120" s="261">
        <f t="shared" si="32"/>
        <v>983.19999999999993</v>
      </c>
      <c r="G120" s="577">
        <v>42643</v>
      </c>
      <c r="H120" s="266">
        <v>60</v>
      </c>
      <c r="I120" s="261">
        <v>24.72</v>
      </c>
      <c r="J120" s="261">
        <v>0.03</v>
      </c>
      <c r="K120" s="261">
        <f t="shared" si="33"/>
        <v>1483.1699999999998</v>
      </c>
      <c r="L120" s="260"/>
      <c r="M120" s="260"/>
    </row>
    <row r="121" spans="1:13" x14ac:dyDescent="0.25">
      <c r="A121" s="260"/>
      <c r="B121" s="577">
        <v>42639</v>
      </c>
      <c r="C121" s="260">
        <v>100</v>
      </c>
      <c r="D121" s="261">
        <v>22.28</v>
      </c>
      <c r="E121" s="261">
        <v>0</v>
      </c>
      <c r="F121" s="261">
        <f t="shared" si="32"/>
        <v>2228</v>
      </c>
      <c r="G121" s="577">
        <v>42663</v>
      </c>
      <c r="H121" s="266">
        <v>40</v>
      </c>
      <c r="I121" s="261">
        <v>24.78</v>
      </c>
      <c r="J121" s="261">
        <v>0.02</v>
      </c>
      <c r="K121" s="261">
        <f t="shared" si="33"/>
        <v>991.18000000000006</v>
      </c>
      <c r="L121" s="260"/>
      <c r="M121" s="260"/>
    </row>
    <row r="122" spans="1:13" x14ac:dyDescent="0.25">
      <c r="A122" s="260"/>
      <c r="B122" s="577">
        <v>42643</v>
      </c>
      <c r="C122" s="260">
        <v>60</v>
      </c>
      <c r="D122" s="261">
        <v>24.3</v>
      </c>
      <c r="E122" s="261">
        <v>0</v>
      </c>
      <c r="F122" s="261">
        <f t="shared" si="32"/>
        <v>1458</v>
      </c>
      <c r="G122" s="577">
        <v>42675</v>
      </c>
      <c r="H122" s="266">
        <v>100</v>
      </c>
      <c r="I122" s="261">
        <v>24.75</v>
      </c>
      <c r="J122" s="261">
        <v>0.05</v>
      </c>
      <c r="K122" s="261">
        <f>H122*I122-J122</f>
        <v>2474.9499999999998</v>
      </c>
      <c r="L122" s="260"/>
      <c r="M122" s="260"/>
    </row>
    <row r="123" spans="1:13" x14ac:dyDescent="0.25">
      <c r="A123" s="260"/>
      <c r="B123" s="577">
        <v>42655</v>
      </c>
      <c r="C123" s="260">
        <v>100</v>
      </c>
      <c r="D123" s="261">
        <v>22.56</v>
      </c>
      <c r="E123" s="261">
        <v>0</v>
      </c>
      <c r="F123" s="261">
        <f t="shared" si="32"/>
        <v>2256</v>
      </c>
      <c r="G123" s="577">
        <v>42677</v>
      </c>
      <c r="H123" s="266">
        <v>60</v>
      </c>
      <c r="I123" s="261">
        <v>23.16</v>
      </c>
      <c r="J123" s="261">
        <v>0.03</v>
      </c>
      <c r="K123" s="261">
        <f>H123*I123-J123</f>
        <v>1389.57</v>
      </c>
      <c r="L123" s="260"/>
      <c r="M123" s="260"/>
    </row>
    <row r="124" spans="1:13" x14ac:dyDescent="0.25">
      <c r="A124" s="260"/>
      <c r="B124" s="577">
        <v>42674</v>
      </c>
      <c r="C124" s="260">
        <v>40</v>
      </c>
      <c r="D124" s="261">
        <v>24.16</v>
      </c>
      <c r="E124" s="261">
        <v>-0.1</v>
      </c>
      <c r="F124" s="261">
        <f t="shared" si="32"/>
        <v>966.3</v>
      </c>
      <c r="G124" s="577">
        <v>42688</v>
      </c>
      <c r="H124" s="266">
        <v>100</v>
      </c>
      <c r="I124" s="261">
        <v>28</v>
      </c>
      <c r="J124" s="261">
        <v>0.06</v>
      </c>
      <c r="K124" s="261">
        <f>H124*I124-J124</f>
        <v>2799.94</v>
      </c>
      <c r="L124" s="260"/>
      <c r="M124" s="260"/>
    </row>
    <row r="125" spans="1:13" x14ac:dyDescent="0.25">
      <c r="A125" s="260"/>
      <c r="B125" s="577">
        <v>42675</v>
      </c>
      <c r="C125" s="260">
        <v>100</v>
      </c>
      <c r="D125" s="261">
        <v>24.53</v>
      </c>
      <c r="E125" s="261">
        <v>0</v>
      </c>
      <c r="F125" s="261">
        <f t="shared" si="32"/>
        <v>2453</v>
      </c>
      <c r="G125" s="577">
        <v>42705</v>
      </c>
      <c r="H125" s="266">
        <v>40</v>
      </c>
      <c r="I125" s="261">
        <v>29.58</v>
      </c>
      <c r="J125" s="261">
        <v>0.03</v>
      </c>
      <c r="K125" s="261">
        <f>H125*I125-J125</f>
        <v>1183.1699999999998</v>
      </c>
      <c r="L125" s="260"/>
      <c r="M125" s="260"/>
    </row>
    <row r="126" spans="1:13" x14ac:dyDescent="0.25">
      <c r="A126" s="260"/>
      <c r="B126" s="577">
        <v>42677</v>
      </c>
      <c r="C126" s="260">
        <v>100</v>
      </c>
      <c r="D126" s="261">
        <v>22.38</v>
      </c>
      <c r="E126" s="261">
        <v>0</v>
      </c>
      <c r="F126" s="261">
        <f t="shared" si="32"/>
        <v>2238</v>
      </c>
      <c r="G126" s="577">
        <v>42711</v>
      </c>
      <c r="H126" s="266">
        <v>200</v>
      </c>
      <c r="I126" s="261">
        <v>29.9</v>
      </c>
      <c r="J126" s="261">
        <v>0.13</v>
      </c>
      <c r="K126" s="261">
        <f>H126*I126-J126</f>
        <v>5979.87</v>
      </c>
      <c r="L126" s="260"/>
      <c r="M126" s="260"/>
    </row>
    <row r="127" spans="1:13" x14ac:dyDescent="0.25">
      <c r="A127" s="260"/>
      <c r="B127" s="577"/>
      <c r="C127" s="260"/>
      <c r="D127" s="261"/>
      <c r="E127" s="261"/>
      <c r="F127" s="261"/>
      <c r="G127" s="577"/>
      <c r="H127" s="266"/>
      <c r="I127" s="261"/>
      <c r="J127" s="261"/>
      <c r="K127" s="261"/>
      <c r="L127" s="260"/>
      <c r="M127" s="260"/>
    </row>
    <row r="128" spans="1:13" x14ac:dyDescent="0.25">
      <c r="A128" s="260"/>
      <c r="B128" s="577"/>
      <c r="C128" s="260"/>
      <c r="D128" s="261"/>
      <c r="E128" s="261"/>
      <c r="F128" s="261"/>
      <c r="G128" s="577"/>
      <c r="H128" s="266"/>
      <c r="I128" s="261"/>
      <c r="J128" s="261"/>
      <c r="K128" s="261"/>
      <c r="L128" s="260"/>
      <c r="M128" s="260"/>
    </row>
    <row r="129" spans="1:13" x14ac:dyDescent="0.25">
      <c r="A129" s="260"/>
      <c r="B129" s="577"/>
      <c r="C129" s="260"/>
      <c r="D129" s="261"/>
      <c r="E129" s="261"/>
      <c r="F129" s="261"/>
      <c r="G129" s="577"/>
      <c r="H129" s="266"/>
      <c r="I129" s="261"/>
      <c r="J129" s="261"/>
      <c r="K129" s="261"/>
      <c r="L129" s="260"/>
      <c r="M129" s="260"/>
    </row>
    <row r="130" spans="1:13" x14ac:dyDescent="0.25">
      <c r="A130" s="260"/>
      <c r="B130" s="577"/>
      <c r="C130" s="260"/>
      <c r="D130" s="261"/>
      <c r="E130" s="261"/>
      <c r="F130" s="261"/>
      <c r="G130" s="577"/>
      <c r="H130" s="260"/>
      <c r="I130" s="261"/>
      <c r="J130" s="261"/>
      <c r="K130" s="261"/>
      <c r="L130" s="260"/>
      <c r="M130" s="260"/>
    </row>
    <row r="131" spans="1:13" x14ac:dyDescent="0.25">
      <c r="A131" s="32" t="s">
        <v>81</v>
      </c>
      <c r="B131" s="503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2" t="s">
        <v>197</v>
      </c>
      <c r="B132" s="578"/>
      <c r="C132" s="464">
        <f>SumByColor($A$19,C115:C130)</f>
        <v>0</v>
      </c>
      <c r="D132" s="464"/>
      <c r="E132" s="464"/>
      <c r="F132" s="465">
        <f>SumByColor($A$19,F115:F130)</f>
        <v>0</v>
      </c>
      <c r="G132" s="464"/>
      <c r="H132" s="464">
        <f>SumByColor($A$19,H115:H130)</f>
        <v>0</v>
      </c>
      <c r="I132" s="464"/>
      <c r="J132" s="464"/>
      <c r="K132" s="465">
        <f>SumByColor($A$19,K115:K130)</f>
        <v>0</v>
      </c>
      <c r="L132" s="464"/>
      <c r="M132" s="465">
        <f>SumByColor($A$19,M115:M130)</f>
        <v>0</v>
      </c>
    </row>
    <row r="135" spans="1:13" x14ac:dyDescent="0.25">
      <c r="L135" t="s">
        <v>65</v>
      </c>
      <c r="M135" s="2">
        <f>M153+K153-F153</f>
        <v>576.80999999999949</v>
      </c>
    </row>
    <row r="136" spans="1:13" x14ac:dyDescent="0.25">
      <c r="A136" s="595" t="s">
        <v>1</v>
      </c>
      <c r="B136" s="596" t="s">
        <v>2</v>
      </c>
      <c r="C136" s="595" t="s">
        <v>4</v>
      </c>
      <c r="D136" s="597" t="s">
        <v>5</v>
      </c>
      <c r="E136" s="597" t="s">
        <v>94</v>
      </c>
      <c r="F136" s="597" t="s">
        <v>60</v>
      </c>
      <c r="G136" s="595" t="s">
        <v>3</v>
      </c>
      <c r="H136" s="595" t="s">
        <v>6</v>
      </c>
      <c r="I136" s="597" t="s">
        <v>7</v>
      </c>
      <c r="J136" s="597" t="s">
        <v>95</v>
      </c>
      <c r="K136" s="597" t="s">
        <v>61</v>
      </c>
      <c r="L136" s="595" t="s">
        <v>37</v>
      </c>
      <c r="M136" s="595" t="s">
        <v>38</v>
      </c>
    </row>
    <row r="137" spans="1:13" x14ac:dyDescent="0.25">
      <c r="A137" s="598" t="s">
        <v>229</v>
      </c>
      <c r="B137" s="599">
        <v>42716</v>
      </c>
      <c r="C137" s="600">
        <v>100</v>
      </c>
      <c r="D137" s="601">
        <v>29.49</v>
      </c>
      <c r="E137" s="601">
        <v>0</v>
      </c>
      <c r="F137" s="601">
        <f>D137*C137+E137</f>
        <v>2949</v>
      </c>
      <c r="G137" s="599">
        <v>42720</v>
      </c>
      <c r="H137" s="602">
        <v>100</v>
      </c>
      <c r="I137" s="601">
        <v>29.36</v>
      </c>
      <c r="J137" s="601">
        <v>0.06</v>
      </c>
      <c r="K137" s="601">
        <f>I137*H137-J137</f>
        <v>2935.94</v>
      </c>
      <c r="L137" s="603"/>
      <c r="M137" s="601"/>
    </row>
    <row r="138" spans="1:13" x14ac:dyDescent="0.25">
      <c r="A138" s="604" t="s">
        <v>71</v>
      </c>
      <c r="B138" s="599">
        <v>42716</v>
      </c>
      <c r="C138" s="600">
        <v>100</v>
      </c>
      <c r="D138" s="601">
        <v>29.08</v>
      </c>
      <c r="E138" s="601">
        <v>0</v>
      </c>
      <c r="F138" s="601">
        <f>D138*C138+E138</f>
        <v>2908</v>
      </c>
      <c r="G138" s="599">
        <v>42724</v>
      </c>
      <c r="H138" s="602">
        <v>100</v>
      </c>
      <c r="I138" s="601">
        <v>28.98</v>
      </c>
      <c r="J138" s="601">
        <v>0.06</v>
      </c>
      <c r="K138" s="601">
        <f>I138*H138-J138</f>
        <v>2897.94</v>
      </c>
      <c r="L138" s="603"/>
      <c r="M138" s="601"/>
    </row>
    <row r="139" spans="1:13" x14ac:dyDescent="0.25">
      <c r="A139" s="600"/>
      <c r="B139" s="599">
        <v>42723</v>
      </c>
      <c r="C139" s="600">
        <v>100</v>
      </c>
      <c r="D139" s="601">
        <v>28.28</v>
      </c>
      <c r="E139" s="601">
        <v>0</v>
      </c>
      <c r="F139" s="601">
        <f>D139*C139+E139</f>
        <v>2828</v>
      </c>
      <c r="G139" s="599">
        <v>42755</v>
      </c>
      <c r="H139" s="602">
        <v>100</v>
      </c>
      <c r="I139" s="601">
        <v>34.28</v>
      </c>
      <c r="J139" s="601">
        <v>7.0000000000000007E-2</v>
      </c>
      <c r="K139" s="601">
        <f>I139*H139-J139</f>
        <v>3427.93</v>
      </c>
      <c r="L139" s="600"/>
      <c r="M139" s="600"/>
    </row>
    <row r="140" spans="1:13" x14ac:dyDescent="0.25">
      <c r="A140" s="600"/>
      <c r="B140" s="599"/>
      <c r="C140" s="600"/>
      <c r="D140" s="601"/>
      <c r="E140" s="601"/>
      <c r="F140" s="601"/>
      <c r="G140" s="599"/>
      <c r="H140" s="602"/>
      <c r="I140" s="601"/>
      <c r="J140" s="601"/>
      <c r="K140" s="601"/>
      <c r="L140" s="600"/>
      <c r="M140" s="600"/>
    </row>
    <row r="141" spans="1:13" x14ac:dyDescent="0.25">
      <c r="A141" s="600"/>
      <c r="B141" s="599"/>
      <c r="C141" s="600"/>
      <c r="D141" s="601"/>
      <c r="E141" s="601"/>
      <c r="F141" s="601"/>
      <c r="G141" s="599"/>
      <c r="H141" s="602"/>
      <c r="I141" s="601"/>
      <c r="J141" s="601"/>
      <c r="K141" s="601"/>
      <c r="L141" s="600"/>
      <c r="M141" s="600"/>
    </row>
    <row r="142" spans="1:13" x14ac:dyDescent="0.25">
      <c r="A142" s="600"/>
      <c r="B142" s="599"/>
      <c r="C142" s="600"/>
      <c r="D142" s="601"/>
      <c r="E142" s="601"/>
      <c r="F142" s="601"/>
      <c r="G142" s="599"/>
      <c r="H142" s="602"/>
      <c r="I142" s="601"/>
      <c r="J142" s="601"/>
      <c r="K142" s="601"/>
      <c r="L142" s="600"/>
      <c r="M142" s="600"/>
    </row>
    <row r="143" spans="1:13" x14ac:dyDescent="0.25">
      <c r="A143" s="600"/>
      <c r="B143" s="599"/>
      <c r="C143" s="600"/>
      <c r="D143" s="601"/>
      <c r="E143" s="601"/>
      <c r="F143" s="601"/>
      <c r="G143" s="599"/>
      <c r="H143" s="602"/>
      <c r="I143" s="601"/>
      <c r="J143" s="601"/>
      <c r="K143" s="601"/>
      <c r="L143" s="600"/>
      <c r="M143" s="600"/>
    </row>
    <row r="144" spans="1:13" x14ac:dyDescent="0.25">
      <c r="A144" s="600"/>
      <c r="B144" s="599"/>
      <c r="C144" s="600"/>
      <c r="D144" s="601"/>
      <c r="E144" s="601"/>
      <c r="F144" s="601"/>
      <c r="G144" s="599"/>
      <c r="H144" s="602"/>
      <c r="I144" s="601"/>
      <c r="J144" s="601"/>
      <c r="K144" s="601"/>
      <c r="L144" s="600"/>
      <c r="M144" s="600"/>
    </row>
    <row r="145" spans="1:13" x14ac:dyDescent="0.25">
      <c r="A145" s="600"/>
      <c r="B145" s="599"/>
      <c r="C145" s="600"/>
      <c r="D145" s="601"/>
      <c r="E145" s="601"/>
      <c r="F145" s="601"/>
      <c r="G145" s="599"/>
      <c r="H145" s="602"/>
      <c r="I145" s="601"/>
      <c r="J145" s="601"/>
      <c r="K145" s="601"/>
      <c r="L145" s="599"/>
      <c r="M145" s="600"/>
    </row>
    <row r="146" spans="1:13" x14ac:dyDescent="0.25">
      <c r="A146" s="600"/>
      <c r="B146" s="599"/>
      <c r="C146" s="600"/>
      <c r="D146" s="601"/>
      <c r="E146" s="601"/>
      <c r="F146" s="601"/>
      <c r="G146" s="599"/>
      <c r="H146" s="602"/>
      <c r="I146" s="601"/>
      <c r="J146" s="601"/>
      <c r="K146" s="601"/>
      <c r="L146" s="600"/>
      <c r="M146" s="600"/>
    </row>
    <row r="147" spans="1:13" x14ac:dyDescent="0.25">
      <c r="A147" s="600"/>
      <c r="B147" s="599"/>
      <c r="C147" s="600"/>
      <c r="D147" s="601"/>
      <c r="E147" s="601"/>
      <c r="F147" s="601"/>
      <c r="G147" s="599"/>
      <c r="H147" s="602"/>
      <c r="I147" s="601"/>
      <c r="J147" s="601"/>
      <c r="K147" s="601"/>
      <c r="L147" s="600"/>
      <c r="M147" s="600"/>
    </row>
    <row r="148" spans="1:13" x14ac:dyDescent="0.25">
      <c r="A148" s="600"/>
      <c r="B148" s="599"/>
      <c r="C148" s="600"/>
      <c r="D148" s="601"/>
      <c r="E148" s="601"/>
      <c r="F148" s="601"/>
      <c r="G148" s="599"/>
      <c r="H148" s="602"/>
      <c r="I148" s="601"/>
      <c r="J148" s="601"/>
      <c r="K148" s="601"/>
      <c r="L148" s="600"/>
      <c r="M148" s="600"/>
    </row>
    <row r="149" spans="1:13" x14ac:dyDescent="0.25">
      <c r="A149" s="600"/>
      <c r="B149" s="599"/>
      <c r="C149" s="600"/>
      <c r="D149" s="601"/>
      <c r="E149" s="601"/>
      <c r="F149" s="601"/>
      <c r="G149" s="599"/>
      <c r="H149" s="602"/>
      <c r="I149" s="601"/>
      <c r="J149" s="601"/>
      <c r="K149" s="601"/>
      <c r="L149" s="600"/>
      <c r="M149" s="600"/>
    </row>
    <row r="150" spans="1:13" x14ac:dyDescent="0.25">
      <c r="A150" s="600"/>
      <c r="B150" s="599"/>
      <c r="C150" s="600"/>
      <c r="D150" s="601"/>
      <c r="E150" s="601"/>
      <c r="F150" s="601"/>
      <c r="G150" s="599"/>
      <c r="H150" s="602"/>
      <c r="I150" s="601"/>
      <c r="J150" s="601"/>
      <c r="K150" s="601"/>
      <c r="L150" s="600"/>
      <c r="M150" s="600"/>
    </row>
    <row r="151" spans="1:13" x14ac:dyDescent="0.25">
      <c r="A151" s="600"/>
      <c r="B151" s="599"/>
      <c r="C151" s="600"/>
      <c r="D151" s="601"/>
      <c r="E151" s="601"/>
      <c r="F151" s="601"/>
      <c r="G151" s="599"/>
      <c r="H151" s="602"/>
      <c r="I151" s="601"/>
      <c r="J151" s="601"/>
      <c r="K151" s="601"/>
      <c r="L151" s="600"/>
      <c r="M151" s="600"/>
    </row>
    <row r="152" spans="1:13" x14ac:dyDescent="0.25">
      <c r="A152" s="600"/>
      <c r="B152" s="599"/>
      <c r="C152" s="600"/>
      <c r="D152" s="601"/>
      <c r="E152" s="601"/>
      <c r="F152" s="601"/>
      <c r="G152" s="599"/>
      <c r="H152" s="600"/>
      <c r="I152" s="601"/>
      <c r="J152" s="601"/>
      <c r="K152" s="601"/>
      <c r="L152" s="600"/>
      <c r="M152" s="600"/>
    </row>
    <row r="153" spans="1:13" x14ac:dyDescent="0.25">
      <c r="A153" s="605" t="s">
        <v>81</v>
      </c>
      <c r="B153" s="606"/>
      <c r="C153" s="607">
        <f>SUM(C137:C149)</f>
        <v>300</v>
      </c>
      <c r="D153" s="608"/>
      <c r="E153" s="608"/>
      <c r="F153" s="608">
        <f>SUM(F137:F149)</f>
        <v>8685</v>
      </c>
      <c r="G153" s="607"/>
      <c r="H153" s="607">
        <f>SUM(H137:H148)</f>
        <v>300</v>
      </c>
      <c r="I153" s="608"/>
      <c r="J153" s="608"/>
      <c r="K153" s="608">
        <f>SUM(K137:K148)</f>
        <v>9261.81</v>
      </c>
      <c r="L153" s="607"/>
      <c r="M153" s="608">
        <f>SUM(M137:M145)</f>
        <v>0</v>
      </c>
    </row>
    <row r="154" spans="1:13" ht="15.75" thickBot="1" x14ac:dyDescent="0.3">
      <c r="A154" s="609" t="s">
        <v>197</v>
      </c>
      <c r="B154" s="610"/>
      <c r="C154" s="611">
        <f>SumByColor($A$19,C137:C152)</f>
        <v>0</v>
      </c>
      <c r="D154" s="611"/>
      <c r="E154" s="611"/>
      <c r="F154" s="612">
        <f>SumByColor($A$19,F137:F152)</f>
        <v>0</v>
      </c>
      <c r="G154" s="611"/>
      <c r="H154" s="611">
        <f>SumByColor($A$19,H137:H152)</f>
        <v>0</v>
      </c>
      <c r="I154" s="611"/>
      <c r="J154" s="611"/>
      <c r="K154" s="612">
        <f>SumByColor($A$19,K137:K152)</f>
        <v>0</v>
      </c>
      <c r="L154" s="611"/>
      <c r="M154" s="612">
        <f>SumByColor($A$19,M137:M152)</f>
        <v>0</v>
      </c>
    </row>
  </sheetData>
  <mergeCells count="1">
    <mergeCell ref="O53:P53"/>
  </mergeCells>
  <conditionalFormatting sqref="O54:O74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34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355" priority="32">
      <formula>F52&gt;0</formula>
    </cfRule>
    <cfRule type="expression" dxfId="354" priority="33">
      <formula>F52&lt;0</formula>
    </cfRule>
  </conditionalFormatting>
  <conditionalFormatting sqref="Q7">
    <cfRule type="expression" dxfId="353" priority="26">
      <formula>Q7&gt;0</formula>
    </cfRule>
    <cfRule type="expression" dxfId="352" priority="27">
      <formula>Q7&lt;0</formula>
    </cfRule>
  </conditionalFormatting>
  <conditionalFormatting sqref="Q8">
    <cfRule type="expression" dxfId="351" priority="24">
      <formula>Q8&gt;0</formula>
    </cfRule>
    <cfRule type="expression" dxfId="350" priority="25">
      <formula>Q8&lt;0</formula>
    </cfRule>
  </conditionalFormatting>
  <conditionalFormatting sqref="F44:F51">
    <cfRule type="expression" dxfId="349" priority="22">
      <formula>F44&gt;0</formula>
    </cfRule>
    <cfRule type="expression" dxfId="348" priority="23">
      <formula>F44&lt;0</formula>
    </cfRule>
  </conditionalFormatting>
  <conditionalFormatting sqref="H44:H51">
    <cfRule type="expression" dxfId="347" priority="20">
      <formula>H44&gt;0</formula>
    </cfRule>
    <cfRule type="expression" dxfId="346" priority="21">
      <formula>H44&lt;0</formula>
    </cfRule>
  </conditionalFormatting>
  <conditionalFormatting sqref="F89:F90 H89:H90">
    <cfRule type="expression" dxfId="345" priority="18">
      <formula>F89&gt;0</formula>
    </cfRule>
    <cfRule type="expression" dxfId="344" priority="19">
      <formula>F89&lt;0</formula>
    </cfRule>
  </conditionalFormatting>
  <conditionalFormatting sqref="H97 F97">
    <cfRule type="expression" dxfId="343" priority="16">
      <formula>F97&gt;0</formula>
    </cfRule>
    <cfRule type="expression" dxfId="342" priority="17">
      <formula>F97&lt;0</formula>
    </cfRule>
  </conditionalFormatting>
  <conditionalFormatting sqref="F24:F31">
    <cfRule type="expression" dxfId="341" priority="14">
      <formula>F24&gt;0</formula>
    </cfRule>
    <cfRule type="expression" dxfId="340" priority="15">
      <formula>F24&lt;0</formula>
    </cfRule>
  </conditionalFormatting>
  <conditionalFormatting sqref="H24:H31">
    <cfRule type="expression" dxfId="339" priority="12">
      <formula>H24&gt;0</formula>
    </cfRule>
    <cfRule type="expression" dxfId="338" priority="13">
      <formula>H24&lt;0</formula>
    </cfRule>
  </conditionalFormatting>
  <conditionalFormatting sqref="F33">
    <cfRule type="expression" dxfId="337" priority="6">
      <formula>F33&gt;0</formula>
    </cfRule>
    <cfRule type="expression" dxfId="336" priority="7">
      <formula>F33&lt;0</formula>
    </cfRule>
  </conditionalFormatting>
  <conditionalFormatting sqref="F34:F39">
    <cfRule type="expression" dxfId="335" priority="4">
      <formula>F34&gt;0</formula>
    </cfRule>
    <cfRule type="expression" dxfId="334" priority="5">
      <formula>F34&lt;0</formula>
    </cfRule>
  </conditionalFormatting>
  <conditionalFormatting sqref="H33:H39">
    <cfRule type="expression" dxfId="333" priority="2">
      <formula>H33&gt;0</formula>
    </cfRule>
    <cfRule type="expression" dxfId="332" priority="3">
      <formula>H33&lt;0</formula>
    </cfRule>
  </conditionalFormatting>
  <conditionalFormatting sqref="AF2:AF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6" location="ACTIVE!A1" display="Back"/>
    <hyperlink ref="A13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381</v>
      </c>
      <c r="B2" s="501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80</v>
      </c>
      <c r="T2" s="1"/>
      <c r="W2" s="132">
        <v>42797</v>
      </c>
      <c r="X2" s="10">
        <v>58.24</v>
      </c>
      <c r="Y2" s="10">
        <v>58.28</v>
      </c>
      <c r="Z2" s="10">
        <v>57.09</v>
      </c>
      <c r="AA2" s="10">
        <v>57.35</v>
      </c>
      <c r="AB2" s="94">
        <v>9057200</v>
      </c>
      <c r="AC2" s="10">
        <v>57.35</v>
      </c>
      <c r="AD2" s="2">
        <f>Y2-Z2</f>
        <v>1.1899999999999977</v>
      </c>
      <c r="AE2" s="137">
        <f>AC2/AC3-1</f>
        <v>-1.035375323554788E-2</v>
      </c>
    </row>
    <row r="3" spans="1:31" x14ac:dyDescent="0.25">
      <c r="A3" s="23" t="s">
        <v>71</v>
      </c>
      <c r="B3" s="502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1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60.117499999999993</v>
      </c>
      <c r="T3" s="1"/>
      <c r="W3" s="132">
        <v>42796</v>
      </c>
      <c r="X3" s="10">
        <v>58</v>
      </c>
      <c r="Y3" s="10">
        <v>58.52</v>
      </c>
      <c r="Z3" s="10">
        <v>57.75</v>
      </c>
      <c r="AA3" s="10">
        <v>57.95</v>
      </c>
      <c r="AB3" s="94">
        <v>10957100</v>
      </c>
      <c r="AC3" s="10">
        <v>57.95</v>
      </c>
      <c r="AD3" s="2">
        <f t="shared" ref="AD3:AD66" si="0">Y3-Z3</f>
        <v>0.77000000000000313</v>
      </c>
      <c r="AE3" s="137">
        <f t="shared" ref="AE3:AE66" si="1">AC3/AC4-1</f>
        <v>2.075047553173226E-3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55.36</v>
      </c>
      <c r="R4" s="520">
        <v>2.8999999999999998E-3</v>
      </c>
      <c r="T4" s="162"/>
      <c r="U4" s="1"/>
      <c r="W4" s="132">
        <v>42795</v>
      </c>
      <c r="X4" s="10">
        <v>58.78</v>
      </c>
      <c r="Y4" s="10">
        <v>59.33</v>
      </c>
      <c r="Z4" s="10">
        <v>57.35</v>
      </c>
      <c r="AA4" s="10">
        <v>57.83</v>
      </c>
      <c r="AB4" s="94">
        <v>22760400</v>
      </c>
      <c r="AC4" s="10">
        <v>57.83</v>
      </c>
      <c r="AD4" s="2">
        <f t="shared" si="0"/>
        <v>1.9799999999999969</v>
      </c>
      <c r="AE4" s="137">
        <f t="shared" si="1"/>
        <v>-1.5994555045091063E-2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4428.8</v>
      </c>
      <c r="W5" s="132">
        <v>42794</v>
      </c>
      <c r="X5" s="10">
        <v>66.91</v>
      </c>
      <c r="Y5" s="10">
        <v>66.91</v>
      </c>
      <c r="Z5" s="10">
        <v>57.3</v>
      </c>
      <c r="AA5" s="10">
        <v>58.77</v>
      </c>
      <c r="AB5" s="94">
        <v>45090800</v>
      </c>
      <c r="AC5" s="10">
        <v>58.77</v>
      </c>
      <c r="AD5" s="2">
        <f t="shared" si="0"/>
        <v>9.61</v>
      </c>
      <c r="AE5" s="137">
        <f t="shared" si="1"/>
        <v>-0.12165595576147059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4809.3999999999996</v>
      </c>
      <c r="W6" s="132">
        <v>42793</v>
      </c>
      <c r="X6" s="10">
        <v>66.39</v>
      </c>
      <c r="Y6" s="10">
        <v>67.08</v>
      </c>
      <c r="Z6" s="10">
        <v>66.23</v>
      </c>
      <c r="AA6" s="10">
        <v>66.91</v>
      </c>
      <c r="AB6" s="94">
        <v>6825700</v>
      </c>
      <c r="AC6" s="10">
        <v>66.91</v>
      </c>
      <c r="AD6" s="2">
        <f t="shared" si="0"/>
        <v>0.84999999999999432</v>
      </c>
      <c r="AE6" s="137">
        <f t="shared" si="1"/>
        <v>6.0141332130505543E-3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-380.59999999999945</v>
      </c>
      <c r="R7">
        <v>30</v>
      </c>
      <c r="W7" s="132">
        <v>42790</v>
      </c>
      <c r="X7" s="10">
        <v>65.260000000000005</v>
      </c>
      <c r="Y7" s="10">
        <v>66.64</v>
      </c>
      <c r="Z7" s="10">
        <v>64.930000000000007</v>
      </c>
      <c r="AA7" s="10">
        <v>66.510000000000005</v>
      </c>
      <c r="AB7" s="94">
        <v>6859200</v>
      </c>
      <c r="AC7" s="10">
        <v>66.510000000000005</v>
      </c>
      <c r="AD7" s="2">
        <f t="shared" si="0"/>
        <v>1.7099999999999937</v>
      </c>
      <c r="AE7" s="137">
        <f t="shared" si="1"/>
        <v>2.3545706371191244E-2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-380.59999999999945</v>
      </c>
      <c r="W8" s="132">
        <v>42789</v>
      </c>
      <c r="X8" s="10">
        <v>66.040000000000006</v>
      </c>
      <c r="Y8" s="10">
        <v>66.150000000000006</v>
      </c>
      <c r="Z8" s="10">
        <v>64.87</v>
      </c>
      <c r="AA8" s="10">
        <v>64.98</v>
      </c>
      <c r="AB8" s="94">
        <v>4817600</v>
      </c>
      <c r="AC8" s="10">
        <v>64.98</v>
      </c>
      <c r="AD8" s="2">
        <f t="shared" si="0"/>
        <v>1.2800000000000011</v>
      </c>
      <c r="AE8" s="137">
        <f t="shared" si="1"/>
        <v>-1.4558689717925288E-2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-7.9136690647481911E-2</v>
      </c>
      <c r="W9" s="132">
        <v>42788</v>
      </c>
      <c r="X9" s="10">
        <v>66.06</v>
      </c>
      <c r="Y9" s="10">
        <v>66.28</v>
      </c>
      <c r="Z9" s="10">
        <v>65.599999999999994</v>
      </c>
      <c r="AA9" s="10">
        <v>65.94</v>
      </c>
      <c r="AB9" s="94">
        <v>3019800</v>
      </c>
      <c r="AC9" s="10">
        <v>65.94</v>
      </c>
      <c r="AD9" s="2">
        <f t="shared" si="0"/>
        <v>0.68000000000000682</v>
      </c>
      <c r="AE9" s="137">
        <f t="shared" si="1"/>
        <v>-4.0779338468508453E-3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v>0</v>
      </c>
      <c r="W10" s="132">
        <v>42787</v>
      </c>
      <c r="X10" s="10">
        <v>66.260000000000005</v>
      </c>
      <c r="Y10" s="10">
        <v>66.39</v>
      </c>
      <c r="Z10" s="10">
        <v>65.790000000000006</v>
      </c>
      <c r="AA10" s="10">
        <v>66.209999999999994</v>
      </c>
      <c r="AB10" s="94">
        <v>4688300</v>
      </c>
      <c r="AC10" s="10">
        <v>66.209999999999994</v>
      </c>
      <c r="AD10" s="2">
        <f t="shared" si="0"/>
        <v>0.59999999999999432</v>
      </c>
      <c r="AE10" s="137">
        <f t="shared" si="1"/>
        <v>6.3839489284083228E-3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4.1399999999999999E-2</v>
      </c>
      <c r="W11" s="132">
        <v>42783</v>
      </c>
      <c r="X11" s="10">
        <v>65.239999999999995</v>
      </c>
      <c r="Y11" s="10">
        <v>65.900000000000006</v>
      </c>
      <c r="Z11" s="10">
        <v>64.92</v>
      </c>
      <c r="AA11" s="10">
        <v>65.790000000000006</v>
      </c>
      <c r="AB11" s="94">
        <v>4116700</v>
      </c>
      <c r="AC11" s="10">
        <v>65.790000000000006</v>
      </c>
      <c r="AD11" s="2">
        <f t="shared" si="0"/>
        <v>0.98000000000000398</v>
      </c>
      <c r="AE11" s="137">
        <f t="shared" si="1"/>
        <v>9.0490797546012303E-3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42782</v>
      </c>
      <c r="X12" s="10">
        <v>65.77</v>
      </c>
      <c r="Y12" s="10">
        <v>65.849999999999994</v>
      </c>
      <c r="Z12" s="10">
        <v>65.03</v>
      </c>
      <c r="AA12" s="10">
        <v>65.2</v>
      </c>
      <c r="AB12" s="94">
        <v>3294900</v>
      </c>
      <c r="AC12" s="10">
        <v>65.2</v>
      </c>
      <c r="AD12" s="2">
        <f t="shared" si="0"/>
        <v>0.81999999999999318</v>
      </c>
      <c r="AE12" s="137">
        <f t="shared" si="1"/>
        <v>-8.365019011406849E-3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42781</v>
      </c>
      <c r="X13" s="10">
        <v>65.5</v>
      </c>
      <c r="Y13" s="10">
        <v>65.95</v>
      </c>
      <c r="Z13" s="10">
        <v>65.239999999999995</v>
      </c>
      <c r="AA13" s="10">
        <v>65.75</v>
      </c>
      <c r="AB13" s="94">
        <v>3958500</v>
      </c>
      <c r="AC13" s="10">
        <v>65.75</v>
      </c>
      <c r="AD13" s="2">
        <f t="shared" si="0"/>
        <v>0.71000000000000796</v>
      </c>
      <c r="AE13" s="137">
        <f t="shared" si="1"/>
        <v>1.5232292460014563E-3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42780</v>
      </c>
      <c r="X14" s="10">
        <v>64.52</v>
      </c>
      <c r="Y14" s="10">
        <v>65.66</v>
      </c>
      <c r="Z14" s="10">
        <v>64.52</v>
      </c>
      <c r="AA14" s="10">
        <v>65.650000000000006</v>
      </c>
      <c r="AB14" s="94">
        <v>5115400</v>
      </c>
      <c r="AC14" s="10">
        <v>65.650000000000006</v>
      </c>
      <c r="AD14" s="2">
        <f t="shared" si="0"/>
        <v>1.1400000000000006</v>
      </c>
      <c r="AE14" s="137">
        <f t="shared" si="1"/>
        <v>1.2960962814380528E-2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42779</v>
      </c>
      <c r="X15" s="10">
        <v>65.62</v>
      </c>
      <c r="Y15" s="10">
        <v>65.7</v>
      </c>
      <c r="Z15" s="10">
        <v>64.53</v>
      </c>
      <c r="AA15" s="10">
        <v>64.81</v>
      </c>
      <c r="AB15" s="94">
        <v>4218200</v>
      </c>
      <c r="AC15" s="10">
        <v>64.81</v>
      </c>
      <c r="AD15" s="2">
        <f t="shared" si="0"/>
        <v>1.1700000000000017</v>
      </c>
      <c r="AE15" s="137" t="e">
        <f t="shared" si="1"/>
        <v>#DIV/0!</v>
      </c>
    </row>
    <row r="16" spans="1:31" x14ac:dyDescent="0.25">
      <c r="G16" s="30"/>
      <c r="H16" s="71"/>
      <c r="W16" s="132">
        <v>42779</v>
      </c>
      <c r="X16" s="10" t="s">
        <v>385</v>
      </c>
      <c r="Y16" s="10"/>
      <c r="Z16" s="10"/>
      <c r="AA16" s="10"/>
      <c r="AB16" s="94"/>
      <c r="AC16" s="10"/>
      <c r="AD16" s="2">
        <f t="shared" si="0"/>
        <v>0</v>
      </c>
      <c r="AE16" s="137">
        <f t="shared" si="1"/>
        <v>-1</v>
      </c>
    </row>
    <row r="17" spans="1:31" x14ac:dyDescent="0.25">
      <c r="G17" s="30"/>
      <c r="W17" s="132">
        <v>42776</v>
      </c>
      <c r="X17" s="10">
        <v>66.510000000000005</v>
      </c>
      <c r="Y17" s="10">
        <v>66.959999999999994</v>
      </c>
      <c r="Z17" s="10">
        <v>65.22</v>
      </c>
      <c r="AA17" s="10">
        <v>65.73</v>
      </c>
      <c r="AB17" s="94">
        <v>5520800</v>
      </c>
      <c r="AC17" s="10">
        <v>65.13</v>
      </c>
      <c r="AD17" s="2">
        <f t="shared" si="0"/>
        <v>1.7399999999999949</v>
      </c>
      <c r="AE17" s="137">
        <f t="shared" si="1"/>
        <v>-1.0182370820668751E-2</v>
      </c>
    </row>
    <row r="18" spans="1:31" x14ac:dyDescent="0.25">
      <c r="A18" s="32" t="s">
        <v>81</v>
      </c>
      <c r="B18" s="503"/>
      <c r="C18" s="14">
        <f>SUM(C2:C14)</f>
        <v>80</v>
      </c>
      <c r="D18" s="18"/>
      <c r="E18" s="18"/>
      <c r="F18" s="18">
        <f>SUM(F2:F14)</f>
        <v>4809.3999999999996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2">
        <v>42775</v>
      </c>
      <c r="X18" s="10">
        <v>64.77</v>
      </c>
      <c r="Y18" s="10">
        <v>66.540000000000006</v>
      </c>
      <c r="Z18" s="10">
        <v>64.61</v>
      </c>
      <c r="AA18" s="10">
        <v>66.41</v>
      </c>
      <c r="AB18" s="94">
        <v>7754800</v>
      </c>
      <c r="AC18" s="10">
        <v>65.8</v>
      </c>
      <c r="AD18" s="2">
        <f t="shared" si="0"/>
        <v>1.9300000000000068</v>
      </c>
      <c r="AE18" s="137">
        <f t="shared" si="1"/>
        <v>2.5241508258024181E-2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42774</v>
      </c>
      <c r="X19" s="10">
        <v>63.51</v>
      </c>
      <c r="Y19" s="10">
        <v>64.91</v>
      </c>
      <c r="Z19" s="10">
        <v>63.38</v>
      </c>
      <c r="AA19" s="10">
        <v>64.77</v>
      </c>
      <c r="AB19" s="94">
        <v>4511000</v>
      </c>
      <c r="AC19" s="10">
        <v>64.180000000000007</v>
      </c>
      <c r="AD19" s="2">
        <f t="shared" si="0"/>
        <v>1.529999999999994</v>
      </c>
      <c r="AE19" s="137">
        <f t="shared" si="1"/>
        <v>1.8891887601206525E-2</v>
      </c>
    </row>
    <row r="20" spans="1:31" x14ac:dyDescent="0.25">
      <c r="W20" s="132">
        <v>42773</v>
      </c>
      <c r="X20" s="10">
        <v>63.88</v>
      </c>
      <c r="Y20" s="10">
        <v>64.16</v>
      </c>
      <c r="Z20" s="10">
        <v>63.45</v>
      </c>
      <c r="AA20" s="10">
        <v>63.57</v>
      </c>
      <c r="AB20" s="94">
        <v>4256000</v>
      </c>
      <c r="AC20" s="10">
        <v>62.99</v>
      </c>
      <c r="AD20" s="2">
        <f t="shared" si="0"/>
        <v>0.70999999999999375</v>
      </c>
      <c r="AE20" s="137">
        <f t="shared" si="1"/>
        <v>2.3870146403563997E-3</v>
      </c>
    </row>
    <row r="21" spans="1:31" x14ac:dyDescent="0.25">
      <c r="W21" s="132">
        <v>42772</v>
      </c>
      <c r="X21" s="10">
        <v>63.77</v>
      </c>
      <c r="Y21" s="10">
        <v>63.95</v>
      </c>
      <c r="Z21" s="10">
        <v>63.36</v>
      </c>
      <c r="AA21" s="10">
        <v>63.42</v>
      </c>
      <c r="AB21" s="94">
        <v>6003300</v>
      </c>
      <c r="AC21" s="10">
        <v>62.84</v>
      </c>
      <c r="AD21" s="2">
        <f t="shared" si="0"/>
        <v>0.59000000000000341</v>
      </c>
      <c r="AE21" s="137">
        <f t="shared" si="1"/>
        <v>-5.2239987335760407E-3</v>
      </c>
    </row>
    <row r="22" spans="1:31" x14ac:dyDescent="0.25">
      <c r="W22" s="132">
        <v>42769</v>
      </c>
      <c r="X22" s="10">
        <v>63.86</v>
      </c>
      <c r="Y22" s="10">
        <v>64.349999999999994</v>
      </c>
      <c r="Z22" s="10">
        <v>63.52</v>
      </c>
      <c r="AA22" s="10">
        <v>63.75</v>
      </c>
      <c r="AB22" s="94">
        <v>4965300</v>
      </c>
      <c r="AC22" s="10">
        <v>63.17</v>
      </c>
      <c r="AD22" s="2">
        <f t="shared" si="0"/>
        <v>0.82999999999999119</v>
      </c>
      <c r="AE22" s="137">
        <f t="shared" si="1"/>
        <v>1.1093502377179654E-3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132">
        <v>42768</v>
      </c>
      <c r="X23" s="10">
        <v>63.91</v>
      </c>
      <c r="Y23" s="10">
        <v>64.17</v>
      </c>
      <c r="Z23" s="10">
        <v>63.66</v>
      </c>
      <c r="AA23" s="10">
        <v>63.68</v>
      </c>
      <c r="AB23" s="94">
        <v>5518400</v>
      </c>
      <c r="AC23" s="10">
        <v>63.1</v>
      </c>
      <c r="AD23" s="2">
        <f t="shared" si="0"/>
        <v>0.51000000000000512</v>
      </c>
      <c r="AE23" s="137">
        <f t="shared" si="1"/>
        <v>1.5850372483749986E-4</v>
      </c>
    </row>
    <row r="24" spans="1:31" x14ac:dyDescent="0.25">
      <c r="B24" s="156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1">
        <f>(E24-D24)/D24</f>
        <v>-8.9672232529377314E-3</v>
      </c>
      <c r="I24" s="40"/>
      <c r="J24" s="40"/>
      <c r="W24" s="132">
        <v>42767</v>
      </c>
      <c r="X24" s="10">
        <v>63.98</v>
      </c>
      <c r="Y24" s="10">
        <v>64.16</v>
      </c>
      <c r="Z24" s="10">
        <v>63.46</v>
      </c>
      <c r="AA24" s="10">
        <v>63.67</v>
      </c>
      <c r="AB24" s="94">
        <v>5307400</v>
      </c>
      <c r="AC24" s="10">
        <v>63.09</v>
      </c>
      <c r="AD24" s="2">
        <f t="shared" si="0"/>
        <v>0.69999999999999574</v>
      </c>
      <c r="AE24" s="137">
        <f t="shared" si="1"/>
        <v>-1.2521521364845745E-2</v>
      </c>
    </row>
    <row r="25" spans="1:31" x14ac:dyDescent="0.25">
      <c r="B25" s="156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1">
        <f t="shared" ref="H25:H28" si="4">(E25-D25)/D25</f>
        <v>4.947433518861984E-3</v>
      </c>
      <c r="I25" s="40"/>
      <c r="J25" s="40"/>
      <c r="W25" s="132">
        <v>42766</v>
      </c>
      <c r="X25" s="10">
        <v>63.8</v>
      </c>
      <c r="Y25" s="10">
        <v>64.5</v>
      </c>
      <c r="Z25" s="10">
        <v>63.45</v>
      </c>
      <c r="AA25" s="10">
        <v>64.48</v>
      </c>
      <c r="AB25" s="94">
        <v>5735100</v>
      </c>
      <c r="AC25" s="10">
        <v>63.89</v>
      </c>
      <c r="AD25" s="2">
        <f t="shared" si="0"/>
        <v>1.0499999999999972</v>
      </c>
      <c r="AE25" s="137">
        <f t="shared" si="1"/>
        <v>5.6666141980166174E-3</v>
      </c>
    </row>
    <row r="26" spans="1:31" x14ac:dyDescent="0.25">
      <c r="B26" s="156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1">
        <f t="shared" si="4"/>
        <v>-1.4378478664193053E-2</v>
      </c>
      <c r="I26" s="40"/>
      <c r="J26" s="40"/>
      <c r="W26" s="132">
        <v>42765</v>
      </c>
      <c r="X26" s="10">
        <v>63.7</v>
      </c>
      <c r="Y26" s="10">
        <v>64.14</v>
      </c>
      <c r="Z26" s="10">
        <v>63.49</v>
      </c>
      <c r="AA26" s="10">
        <v>64.12</v>
      </c>
      <c r="AB26" s="94">
        <v>5220500</v>
      </c>
      <c r="AC26" s="10">
        <v>63.53</v>
      </c>
      <c r="AD26" s="2">
        <f t="shared" si="0"/>
        <v>0.64999999999999858</v>
      </c>
      <c r="AE26" s="137">
        <f t="shared" si="1"/>
        <v>6.4955640050696761E-3</v>
      </c>
    </row>
    <row r="27" spans="1:31" x14ac:dyDescent="0.25">
      <c r="A27" t="s">
        <v>518</v>
      </c>
      <c r="B27" s="156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1">
        <f t="shared" si="4"/>
        <v>2.8293135435992548E-2</v>
      </c>
      <c r="I27" s="40"/>
      <c r="J27" s="40"/>
      <c r="W27" s="132">
        <v>42762</v>
      </c>
      <c r="X27" s="10">
        <v>64.55</v>
      </c>
      <c r="Y27" s="10">
        <v>64.77</v>
      </c>
      <c r="Z27" s="10">
        <v>62.94</v>
      </c>
      <c r="AA27" s="10">
        <v>63.7</v>
      </c>
      <c r="AB27" s="94">
        <v>7472000</v>
      </c>
      <c r="AC27" s="10">
        <v>63.12</v>
      </c>
      <c r="AD27" s="2">
        <f t="shared" si="0"/>
        <v>1.8299999999999983</v>
      </c>
      <c r="AE27" s="137">
        <f t="shared" si="1"/>
        <v>-7.2349795533186434E-3</v>
      </c>
    </row>
    <row r="28" spans="1:31" x14ac:dyDescent="0.25">
      <c r="A28" t="s">
        <v>518</v>
      </c>
      <c r="B28" s="156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1">
        <f t="shared" si="4"/>
        <v>-0.10590599876314175</v>
      </c>
      <c r="I28" s="40"/>
      <c r="J28" s="40"/>
      <c r="W28" s="132">
        <v>42761</v>
      </c>
      <c r="X28" s="10">
        <v>64.849999999999994</v>
      </c>
      <c r="Y28" s="10">
        <v>64.91</v>
      </c>
      <c r="Z28" s="10">
        <v>64.12</v>
      </c>
      <c r="AA28" s="10">
        <v>64.17</v>
      </c>
      <c r="AB28" s="94">
        <v>4393100</v>
      </c>
      <c r="AC28" s="10">
        <v>63.58</v>
      </c>
      <c r="AD28" s="2">
        <f t="shared" si="0"/>
        <v>0.78999999999999204</v>
      </c>
      <c r="AE28" s="137">
        <f t="shared" si="1"/>
        <v>-1.2886197795373366E-2</v>
      </c>
    </row>
    <row r="29" spans="1:31" x14ac:dyDescent="0.25">
      <c r="A29" t="s">
        <v>583</v>
      </c>
      <c r="B29" s="156">
        <v>42798</v>
      </c>
      <c r="C29" s="10">
        <v>80</v>
      </c>
      <c r="D29" s="40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1">
        <f t="shared" ref="H29" si="5">(E29-D29)/D29</f>
        <v>-4.6034848421840531E-2</v>
      </c>
      <c r="I29" s="40"/>
      <c r="J29" s="40">
        <v>-221.4</v>
      </c>
      <c r="W29" s="132">
        <v>42760</v>
      </c>
      <c r="X29" s="10">
        <v>64.73</v>
      </c>
      <c r="Y29" s="10">
        <v>65.17</v>
      </c>
      <c r="Z29" s="10">
        <v>64.66</v>
      </c>
      <c r="AA29" s="10">
        <v>65</v>
      </c>
      <c r="AB29" s="94">
        <v>5702500</v>
      </c>
      <c r="AC29" s="10">
        <v>64.41</v>
      </c>
      <c r="AD29" s="2">
        <f t="shared" si="0"/>
        <v>0.51000000000000512</v>
      </c>
      <c r="AE29" s="137">
        <f t="shared" si="1"/>
        <v>9.2447508617987673E-3</v>
      </c>
    </row>
    <row r="30" spans="1:31" x14ac:dyDescent="0.25">
      <c r="A30">
        <v>30</v>
      </c>
      <c r="B30" s="156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1">
        <f t="shared" ref="H30" si="8">(E30-D30)/D30</f>
        <v>-6.6827462885183153E-2</v>
      </c>
      <c r="I30" s="40"/>
      <c r="J30" s="40">
        <v>-321.39999999999998</v>
      </c>
      <c r="W30" s="132">
        <v>42759</v>
      </c>
      <c r="X30" s="10">
        <v>63.85</v>
      </c>
      <c r="Y30" s="10">
        <v>64.42</v>
      </c>
      <c r="Z30" s="10">
        <v>63.61</v>
      </c>
      <c r="AA30" s="10">
        <v>64.41</v>
      </c>
      <c r="AB30" s="94">
        <v>6084400</v>
      </c>
      <c r="AC30" s="10">
        <v>63.82</v>
      </c>
      <c r="AD30" s="2">
        <f t="shared" si="0"/>
        <v>0.81000000000000227</v>
      </c>
      <c r="AE30" s="137">
        <f t="shared" si="1"/>
        <v>8.69290342974538E-3</v>
      </c>
    </row>
    <row r="31" spans="1:31" x14ac:dyDescent="0.25">
      <c r="B31" s="156"/>
      <c r="C31" s="10"/>
      <c r="D31" s="40"/>
      <c r="E31" s="40"/>
      <c r="F31" s="40"/>
      <c r="G31" s="10"/>
      <c r="H31" s="10"/>
      <c r="I31" s="40"/>
      <c r="J31" s="40"/>
      <c r="W31" s="132">
        <v>42758</v>
      </c>
      <c r="X31" s="10">
        <v>64.069999999999993</v>
      </c>
      <c r="Y31" s="10">
        <v>64.55</v>
      </c>
      <c r="Z31" s="10">
        <v>63.55</v>
      </c>
      <c r="AA31" s="10">
        <v>63.85</v>
      </c>
      <c r="AB31" s="94">
        <v>7909000</v>
      </c>
      <c r="AC31" s="10">
        <v>63.27</v>
      </c>
      <c r="AD31" s="2">
        <f t="shared" si="0"/>
        <v>1</v>
      </c>
      <c r="AE31" s="137">
        <f t="shared" si="1"/>
        <v>-3.7789324515823397E-3</v>
      </c>
    </row>
    <row r="32" spans="1:31" x14ac:dyDescent="0.25">
      <c r="B32" s="156"/>
      <c r="C32" s="10"/>
      <c r="D32" s="40"/>
      <c r="E32" s="40"/>
      <c r="F32" s="40"/>
      <c r="G32" s="10"/>
      <c r="H32" s="10"/>
      <c r="I32" s="40"/>
      <c r="J32" s="40"/>
      <c r="W32" s="132">
        <v>42755</v>
      </c>
      <c r="X32" s="10">
        <v>65.39</v>
      </c>
      <c r="Y32" s="10">
        <v>65.41</v>
      </c>
      <c r="Z32" s="10">
        <v>63.78</v>
      </c>
      <c r="AA32" s="10">
        <v>64.099999999999994</v>
      </c>
      <c r="AB32" s="94">
        <v>12983500</v>
      </c>
      <c r="AC32" s="10">
        <v>63.51</v>
      </c>
      <c r="AD32" s="2">
        <f t="shared" si="0"/>
        <v>1.6299999999999955</v>
      </c>
      <c r="AE32" s="137">
        <f t="shared" si="1"/>
        <v>-1.9756135206050462E-2</v>
      </c>
    </row>
    <row r="33" spans="2:31" x14ac:dyDescent="0.25">
      <c r="B33" s="156"/>
      <c r="C33" s="10"/>
      <c r="D33" s="40"/>
      <c r="E33" s="40"/>
      <c r="F33" s="40"/>
      <c r="G33" s="10"/>
      <c r="H33" s="10"/>
      <c r="I33" s="40"/>
      <c r="J33" s="40"/>
      <c r="W33" s="132">
        <v>42754</v>
      </c>
      <c r="X33" s="10">
        <v>66.33</v>
      </c>
      <c r="Y33" s="10">
        <v>66.88</v>
      </c>
      <c r="Z33" s="10">
        <v>65.06</v>
      </c>
      <c r="AA33" s="10">
        <v>65.39</v>
      </c>
      <c r="AB33" s="94">
        <v>12274900</v>
      </c>
      <c r="AC33" s="10">
        <v>64.790000000000006</v>
      </c>
      <c r="AD33" s="2">
        <f t="shared" si="0"/>
        <v>1.8199999999999932</v>
      </c>
      <c r="AE33" s="137">
        <f t="shared" si="1"/>
        <v>-2.189009661835728E-2</v>
      </c>
    </row>
    <row r="34" spans="2:31" x14ac:dyDescent="0.25">
      <c r="B34" s="156"/>
      <c r="C34" s="10"/>
      <c r="D34" s="40"/>
      <c r="E34" s="40"/>
      <c r="F34" s="40"/>
      <c r="G34" s="10"/>
      <c r="H34" s="10"/>
      <c r="I34" s="40"/>
      <c r="J34" s="40"/>
      <c r="W34" s="132">
        <v>42753</v>
      </c>
      <c r="X34" s="10">
        <v>68</v>
      </c>
      <c r="Y34" s="10">
        <v>68</v>
      </c>
      <c r="Z34" s="10">
        <v>66.349999999999994</v>
      </c>
      <c r="AA34" s="10">
        <v>66.849999999999994</v>
      </c>
      <c r="AB34" s="94">
        <v>19063200</v>
      </c>
      <c r="AC34" s="10">
        <v>66.239999999999995</v>
      </c>
      <c r="AD34" s="2">
        <f t="shared" si="0"/>
        <v>1.6500000000000057</v>
      </c>
      <c r="AE34" s="137">
        <f t="shared" si="1"/>
        <v>-5.7618437900128217E-2</v>
      </c>
    </row>
    <row r="35" spans="2:31" x14ac:dyDescent="0.25">
      <c r="B35" s="156"/>
      <c r="C35" s="10"/>
      <c r="D35" s="40"/>
      <c r="E35" s="40"/>
      <c r="F35" s="40"/>
      <c r="G35" s="10"/>
      <c r="H35" s="10"/>
      <c r="I35" s="40"/>
      <c r="J35" s="40"/>
      <c r="W35" s="132">
        <v>42752</v>
      </c>
      <c r="X35" s="10">
        <v>70.760000000000005</v>
      </c>
      <c r="Y35" s="10">
        <v>72.08</v>
      </c>
      <c r="Z35" s="10">
        <v>70.63</v>
      </c>
      <c r="AA35" s="10">
        <v>70.94</v>
      </c>
      <c r="AB35" s="94">
        <v>5426700</v>
      </c>
      <c r="AC35" s="10">
        <v>70.290000000000006</v>
      </c>
      <c r="AD35" s="2">
        <f t="shared" si="0"/>
        <v>1.4500000000000028</v>
      </c>
      <c r="AE35" s="137">
        <f t="shared" si="1"/>
        <v>1.0639827462257445E-2</v>
      </c>
    </row>
    <row r="36" spans="2:31" x14ac:dyDescent="0.25">
      <c r="B36" s="156"/>
      <c r="C36" s="10"/>
      <c r="D36" s="40"/>
      <c r="E36" s="40"/>
      <c r="F36" s="40"/>
      <c r="G36" s="10"/>
      <c r="H36" s="10"/>
      <c r="I36" s="40"/>
      <c r="J36" s="40"/>
      <c r="W36" s="132">
        <v>42748</v>
      </c>
      <c r="X36" s="10">
        <v>71.069999999999993</v>
      </c>
      <c r="Y36" s="10">
        <v>71.38</v>
      </c>
      <c r="Z36" s="10">
        <v>70.03</v>
      </c>
      <c r="AA36" s="10">
        <v>70.19</v>
      </c>
      <c r="AB36" s="94">
        <v>5332300</v>
      </c>
      <c r="AC36" s="10">
        <v>69.55</v>
      </c>
      <c r="AD36" s="2">
        <f t="shared" si="0"/>
        <v>1.3499999999999943</v>
      </c>
      <c r="AE36" s="137">
        <f t="shared" si="1"/>
        <v>-1.4872521246458881E-2</v>
      </c>
    </row>
    <row r="37" spans="2:31" x14ac:dyDescent="0.25">
      <c r="B37" s="156"/>
      <c r="C37" s="10"/>
      <c r="D37" s="40"/>
      <c r="E37" s="40"/>
      <c r="F37" s="40"/>
      <c r="G37" s="10"/>
      <c r="H37" s="10"/>
      <c r="I37" s="40"/>
      <c r="J37" s="40"/>
      <c r="W37" s="132">
        <v>42747</v>
      </c>
      <c r="X37" s="10">
        <v>71.430000000000007</v>
      </c>
      <c r="Y37" s="10">
        <v>71.709999999999994</v>
      </c>
      <c r="Z37" s="10">
        <v>70.790000000000006</v>
      </c>
      <c r="AA37" s="10">
        <v>71.25</v>
      </c>
      <c r="AB37" s="94">
        <v>4163200</v>
      </c>
      <c r="AC37" s="10">
        <v>70.599999999999994</v>
      </c>
      <c r="AD37" s="2">
        <f t="shared" si="0"/>
        <v>0.91999999999998749</v>
      </c>
      <c r="AE37" s="137">
        <f t="shared" si="1"/>
        <v>-5.0732807215332354E-3</v>
      </c>
    </row>
    <row r="38" spans="2:31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42746</v>
      </c>
      <c r="X38" s="10">
        <v>71.680000000000007</v>
      </c>
      <c r="Y38" s="10">
        <v>71.930000000000007</v>
      </c>
      <c r="Z38" s="10">
        <v>71.33</v>
      </c>
      <c r="AA38" s="10">
        <v>71.61</v>
      </c>
      <c r="AB38" s="94">
        <v>3479900</v>
      </c>
      <c r="AC38" s="10">
        <v>70.959999999999994</v>
      </c>
      <c r="AD38" s="2">
        <f t="shared" si="0"/>
        <v>0.60000000000000853</v>
      </c>
      <c r="AE38" s="137">
        <f t="shared" si="1"/>
        <v>2.543091268719877E-3</v>
      </c>
    </row>
    <row r="39" spans="2:31" x14ac:dyDescent="0.25">
      <c r="W39" s="132">
        <v>42745</v>
      </c>
      <c r="X39" s="10">
        <v>71.38</v>
      </c>
      <c r="Y39" s="10">
        <v>72.010000000000005</v>
      </c>
      <c r="Z39" s="10">
        <v>71.010000000000005</v>
      </c>
      <c r="AA39" s="10">
        <v>71.430000000000007</v>
      </c>
      <c r="AB39" s="94">
        <v>4681800</v>
      </c>
      <c r="AC39" s="10">
        <v>70.78</v>
      </c>
      <c r="AD39" s="2">
        <f t="shared" si="0"/>
        <v>1</v>
      </c>
      <c r="AE39" s="137">
        <f t="shared" si="1"/>
        <v>0</v>
      </c>
    </row>
    <row r="40" spans="2:31" ht="20.25" thickBot="1" x14ac:dyDescent="0.35">
      <c r="O40" s="703" t="s">
        <v>78</v>
      </c>
      <c r="P40" s="703"/>
      <c r="W40" s="132">
        <v>42744</v>
      </c>
      <c r="X40" s="10">
        <v>71.55</v>
      </c>
      <c r="Y40" s="10">
        <v>71.87</v>
      </c>
      <c r="Z40" s="10">
        <v>71.36</v>
      </c>
      <c r="AA40" s="10">
        <v>71.430000000000007</v>
      </c>
      <c r="AB40" s="94">
        <v>3807100</v>
      </c>
      <c r="AC40" s="10">
        <v>70.78</v>
      </c>
      <c r="AD40" s="2">
        <f t="shared" si="0"/>
        <v>0.51000000000000512</v>
      </c>
      <c r="AE40" s="137">
        <f t="shared" si="1"/>
        <v>-1.4126289023885796E-4</v>
      </c>
    </row>
    <row r="41" spans="2:31" ht="15.75" thickTop="1" x14ac:dyDescent="0.25">
      <c r="O41" s="82">
        <v>1.1000000000000001</v>
      </c>
      <c r="P41" s="82">
        <f>O41*$Q$4</f>
        <v>60.896000000000001</v>
      </c>
      <c r="Q41" s="2"/>
      <c r="W41" s="132">
        <v>42741</v>
      </c>
      <c r="X41" s="10">
        <v>71.98</v>
      </c>
      <c r="Y41" s="10">
        <v>72.23</v>
      </c>
      <c r="Z41" s="10">
        <v>71.180000000000007</v>
      </c>
      <c r="AA41" s="10">
        <v>71.44</v>
      </c>
      <c r="AB41" s="94">
        <v>5235100</v>
      </c>
      <c r="AC41" s="10">
        <v>70.790000000000006</v>
      </c>
      <c r="AD41" s="2">
        <f t="shared" si="0"/>
        <v>1.0499999999999972</v>
      </c>
      <c r="AE41" s="137">
        <f t="shared" si="1"/>
        <v>-1.5438108484005508E-2</v>
      </c>
    </row>
    <row r="42" spans="2:31" ht="20.25" thickBot="1" x14ac:dyDescent="0.35">
      <c r="O42" s="82">
        <v>1.0900000000000001</v>
      </c>
      <c r="P42" s="82">
        <f t="shared" ref="P42:P61" si="9">O42*$Q$4</f>
        <v>60.342400000000005</v>
      </c>
      <c r="Q42" s="2"/>
      <c r="T42" s="90" t="s">
        <v>113</v>
      </c>
      <c r="W42" s="132">
        <v>42740</v>
      </c>
      <c r="X42" s="10">
        <v>72.33</v>
      </c>
      <c r="Y42" s="10">
        <v>72.72</v>
      </c>
      <c r="Z42" s="10">
        <v>70.849999999999994</v>
      </c>
      <c r="AA42" s="10">
        <v>72.56</v>
      </c>
      <c r="AB42" s="94">
        <v>7096300</v>
      </c>
      <c r="AC42" s="10">
        <v>71.900000000000006</v>
      </c>
      <c r="AD42" s="2">
        <f t="shared" si="0"/>
        <v>1.8700000000000045</v>
      </c>
      <c r="AE42" s="137">
        <f t="shared" si="1"/>
        <v>-1.6953787257314668E-2</v>
      </c>
    </row>
    <row r="43" spans="2:31" ht="15.75" thickTop="1" x14ac:dyDescent="0.25">
      <c r="O43" s="82">
        <v>1.08</v>
      </c>
      <c r="P43" s="82">
        <f t="shared" si="9"/>
        <v>59.788800000000002</v>
      </c>
      <c r="Q43" s="2"/>
      <c r="T43" s="127" t="s">
        <v>98</v>
      </c>
      <c r="U43" s="128">
        <v>57.95</v>
      </c>
      <c r="W43" s="132">
        <v>42739</v>
      </c>
      <c r="X43" s="10">
        <v>73.099999999999994</v>
      </c>
      <c r="Y43" s="10">
        <v>74.239999999999995</v>
      </c>
      <c r="Z43" s="10">
        <v>73.099999999999994</v>
      </c>
      <c r="AA43" s="10">
        <v>73.81</v>
      </c>
      <c r="AB43" s="94">
        <v>5316200</v>
      </c>
      <c r="AC43" s="10">
        <v>73.14</v>
      </c>
      <c r="AD43" s="2">
        <f t="shared" si="0"/>
        <v>1.1400000000000006</v>
      </c>
      <c r="AE43" s="137">
        <f t="shared" si="1"/>
        <v>1.4565126924677374E-2</v>
      </c>
    </row>
    <row r="44" spans="2:31" x14ac:dyDescent="0.25">
      <c r="O44" s="82">
        <v>1.07</v>
      </c>
      <c r="P44" s="82">
        <f t="shared" si="9"/>
        <v>59.235200000000006</v>
      </c>
      <c r="Q44" s="2"/>
      <c r="T44" s="92" t="s">
        <v>99</v>
      </c>
      <c r="U44" s="129">
        <v>58.24</v>
      </c>
      <c r="W44" s="132">
        <v>42738</v>
      </c>
      <c r="X44" s="10">
        <v>72.66</v>
      </c>
      <c r="Y44" s="10">
        <v>72.89</v>
      </c>
      <c r="Z44" s="10">
        <v>71.989999999999995</v>
      </c>
      <c r="AA44" s="10">
        <v>72.75</v>
      </c>
      <c r="AB44" s="94">
        <v>3907100</v>
      </c>
      <c r="AC44" s="10">
        <v>72.09</v>
      </c>
      <c r="AD44" s="2">
        <f t="shared" si="0"/>
        <v>0.90000000000000568</v>
      </c>
      <c r="AE44" s="137">
        <f t="shared" si="1"/>
        <v>7.2656140841136363E-3</v>
      </c>
    </row>
    <row r="45" spans="2:31" x14ac:dyDescent="0.25">
      <c r="O45" s="82">
        <v>1.06</v>
      </c>
      <c r="P45" s="82">
        <f t="shared" si="9"/>
        <v>58.681600000000003</v>
      </c>
      <c r="Q45" s="2"/>
      <c r="T45" s="92" t="s">
        <v>100</v>
      </c>
      <c r="U45" s="129" t="s">
        <v>129</v>
      </c>
      <c r="W45" s="132">
        <v>42734</v>
      </c>
      <c r="X45" s="10">
        <v>72.709999999999994</v>
      </c>
      <c r="Y45" s="10">
        <v>72.930000000000007</v>
      </c>
      <c r="Z45" s="10">
        <v>71.88</v>
      </c>
      <c r="AA45" s="10">
        <v>72.23</v>
      </c>
      <c r="AB45" s="94">
        <v>3069200</v>
      </c>
      <c r="AC45" s="10">
        <v>71.569999999999993</v>
      </c>
      <c r="AD45" s="2">
        <f t="shared" si="0"/>
        <v>1.0500000000000114</v>
      </c>
      <c r="AE45" s="137">
        <f t="shared" si="1"/>
        <v>-5.4196775986659063E-3</v>
      </c>
    </row>
    <row r="46" spans="2:31" x14ac:dyDescent="0.25">
      <c r="O46" s="82">
        <v>1.05</v>
      </c>
      <c r="P46" s="82">
        <f t="shared" si="9"/>
        <v>58.128</v>
      </c>
      <c r="Q46" s="2"/>
      <c r="T46" s="92" t="s">
        <v>101</v>
      </c>
      <c r="U46" s="129" t="s">
        <v>129</v>
      </c>
      <c r="W46" s="132">
        <v>42733</v>
      </c>
      <c r="X46" s="10">
        <v>72.78</v>
      </c>
      <c r="Y46" s="10">
        <v>73.17</v>
      </c>
      <c r="Z46" s="10">
        <v>72.430000000000007</v>
      </c>
      <c r="AA46" s="10">
        <v>72.62</v>
      </c>
      <c r="AB46" s="94">
        <v>2795300</v>
      </c>
      <c r="AC46" s="10">
        <v>71.959999999999994</v>
      </c>
      <c r="AD46" s="2">
        <f t="shared" si="0"/>
        <v>0.73999999999999488</v>
      </c>
      <c r="AE46" s="137">
        <f t="shared" si="1"/>
        <v>-2.9097963142581396E-3</v>
      </c>
    </row>
    <row r="47" spans="2:31" x14ac:dyDescent="0.25">
      <c r="O47" s="82">
        <v>1.04</v>
      </c>
      <c r="P47" s="82">
        <f t="shared" si="9"/>
        <v>57.574400000000004</v>
      </c>
      <c r="Q47" s="2"/>
      <c r="T47" s="92" t="s">
        <v>102</v>
      </c>
      <c r="U47" s="129">
        <v>62.35</v>
      </c>
      <c r="W47" s="132">
        <v>42732</v>
      </c>
      <c r="X47" s="10">
        <v>73.75</v>
      </c>
      <c r="Y47" s="10">
        <v>73.98</v>
      </c>
      <c r="Z47" s="10">
        <v>72.75</v>
      </c>
      <c r="AA47" s="10">
        <v>72.83</v>
      </c>
      <c r="AB47" s="94">
        <v>2648500</v>
      </c>
      <c r="AC47" s="10">
        <v>72.17</v>
      </c>
      <c r="AD47" s="2">
        <f t="shared" si="0"/>
        <v>1.230000000000004</v>
      </c>
      <c r="AE47" s="137">
        <f t="shared" si="1"/>
        <v>-1.1775982472956303E-2</v>
      </c>
    </row>
    <row r="48" spans="2:31" x14ac:dyDescent="0.25">
      <c r="O48" s="82">
        <v>1.03</v>
      </c>
      <c r="P48" s="82">
        <f t="shared" si="9"/>
        <v>57.020800000000001</v>
      </c>
      <c r="Q48" s="2"/>
      <c r="T48" s="92" t="s">
        <v>103</v>
      </c>
      <c r="U48" s="129">
        <v>0.22580700000000001</v>
      </c>
      <c r="W48" s="132">
        <v>42731</v>
      </c>
      <c r="X48" s="10">
        <v>73.83</v>
      </c>
      <c r="Y48" s="10">
        <v>74.23</v>
      </c>
      <c r="Z48" s="10">
        <v>73.56</v>
      </c>
      <c r="AA48" s="10">
        <v>73.7</v>
      </c>
      <c r="AB48" s="94">
        <v>2200300</v>
      </c>
      <c r="AC48" s="10">
        <v>73.03</v>
      </c>
      <c r="AD48" s="2">
        <f t="shared" si="0"/>
        <v>0.67000000000000171</v>
      </c>
      <c r="AE48" s="137">
        <f t="shared" si="1"/>
        <v>2.7461211039407907E-3</v>
      </c>
    </row>
    <row r="49" spans="15:31" x14ac:dyDescent="0.25">
      <c r="O49" s="82">
        <v>1.02</v>
      </c>
      <c r="P49" s="82">
        <f t="shared" si="9"/>
        <v>56.467199999999998</v>
      </c>
      <c r="Q49" s="2"/>
      <c r="T49" s="92" t="s">
        <v>122</v>
      </c>
      <c r="U49" s="129" t="s">
        <v>570</v>
      </c>
      <c r="W49" s="132">
        <v>42727</v>
      </c>
      <c r="X49" s="10">
        <v>73.98</v>
      </c>
      <c r="Y49" s="10">
        <v>74.48</v>
      </c>
      <c r="Z49" s="10">
        <v>73.290000000000006</v>
      </c>
      <c r="AA49" s="10">
        <v>73.5</v>
      </c>
      <c r="AB49" s="94">
        <v>3333700</v>
      </c>
      <c r="AC49" s="10">
        <v>72.83</v>
      </c>
      <c r="AD49" s="2">
        <f t="shared" si="0"/>
        <v>1.1899999999999977</v>
      </c>
      <c r="AE49" s="137">
        <f t="shared" si="1"/>
        <v>-3.2845216915285969E-3</v>
      </c>
    </row>
    <row r="50" spans="15:31" x14ac:dyDescent="0.25">
      <c r="O50" s="82">
        <v>1.01</v>
      </c>
      <c r="P50" s="82">
        <f t="shared" si="9"/>
        <v>55.913600000000002</v>
      </c>
      <c r="Q50" s="2"/>
      <c r="T50" s="92"/>
      <c r="U50" s="129"/>
      <c r="W50" s="132">
        <v>42726</v>
      </c>
      <c r="X50" s="10">
        <v>76.849999999999994</v>
      </c>
      <c r="Y50" s="10">
        <v>77</v>
      </c>
      <c r="Z50" s="10">
        <v>73.41</v>
      </c>
      <c r="AA50" s="10">
        <v>73.739999999999995</v>
      </c>
      <c r="AB50" s="94">
        <v>8438800</v>
      </c>
      <c r="AC50" s="10">
        <v>73.069999999999993</v>
      </c>
      <c r="AD50" s="2">
        <f t="shared" si="0"/>
        <v>3.5900000000000034</v>
      </c>
      <c r="AE50" s="137">
        <f t="shared" si="1"/>
        <v>-4.3961795106633672E-2</v>
      </c>
    </row>
    <row r="51" spans="15:31" x14ac:dyDescent="0.25">
      <c r="O51" s="82">
        <v>1</v>
      </c>
      <c r="P51" s="82">
        <f t="shared" si="9"/>
        <v>55.36</v>
      </c>
      <c r="Q51" s="2"/>
      <c r="T51" s="92" t="s">
        <v>105</v>
      </c>
      <c r="U51" s="129" t="s">
        <v>688</v>
      </c>
      <c r="W51" s="132">
        <v>42725</v>
      </c>
      <c r="X51" s="10">
        <v>77.37</v>
      </c>
      <c r="Y51" s="10">
        <v>77.87</v>
      </c>
      <c r="Z51" s="10">
        <v>77.12</v>
      </c>
      <c r="AA51" s="10">
        <v>77.13</v>
      </c>
      <c r="AB51" s="94">
        <v>2152400</v>
      </c>
      <c r="AC51" s="10">
        <v>76.430000000000007</v>
      </c>
      <c r="AD51" s="2">
        <f t="shared" si="0"/>
        <v>0.75</v>
      </c>
      <c r="AE51" s="137">
        <f t="shared" si="1"/>
        <v>-6.6285417208212793E-3</v>
      </c>
    </row>
    <row r="52" spans="15:31" x14ac:dyDescent="0.25">
      <c r="O52" s="82">
        <v>0.99</v>
      </c>
      <c r="P52" s="82">
        <f t="shared" si="9"/>
        <v>54.806399999999996</v>
      </c>
      <c r="Q52" s="2"/>
      <c r="T52" s="92" t="s">
        <v>106</v>
      </c>
      <c r="U52" s="129" t="s">
        <v>689</v>
      </c>
      <c r="W52" s="132">
        <v>42724</v>
      </c>
      <c r="X52" s="10">
        <v>77.349999999999994</v>
      </c>
      <c r="Y52" s="10">
        <v>78</v>
      </c>
      <c r="Z52" s="10">
        <v>77.260000000000005</v>
      </c>
      <c r="AA52" s="10">
        <v>77.650000000000006</v>
      </c>
      <c r="AB52" s="94">
        <v>3504600</v>
      </c>
      <c r="AC52" s="10">
        <v>76.94</v>
      </c>
      <c r="AD52" s="2">
        <f t="shared" si="0"/>
        <v>0.73999999999999488</v>
      </c>
      <c r="AE52" s="137">
        <f t="shared" si="1"/>
        <v>7.8595755829184988E-3</v>
      </c>
    </row>
    <row r="53" spans="15:31" x14ac:dyDescent="0.25">
      <c r="O53" s="82">
        <v>0.98</v>
      </c>
      <c r="P53" s="82">
        <f t="shared" si="9"/>
        <v>54.252800000000001</v>
      </c>
      <c r="Q53" s="2"/>
      <c r="T53" s="92" t="s">
        <v>107</v>
      </c>
      <c r="U53" s="130">
        <v>9081381</v>
      </c>
      <c r="W53" s="132">
        <v>42723</v>
      </c>
      <c r="X53" s="10">
        <v>76.58</v>
      </c>
      <c r="Y53" s="10">
        <v>77.64</v>
      </c>
      <c r="Z53" s="10">
        <v>76.52</v>
      </c>
      <c r="AA53" s="10">
        <v>77.040000000000006</v>
      </c>
      <c r="AB53" s="94">
        <v>2856600</v>
      </c>
      <c r="AC53" s="10">
        <v>76.34</v>
      </c>
      <c r="AD53" s="2">
        <f t="shared" si="0"/>
        <v>1.1200000000000045</v>
      </c>
      <c r="AE53" s="137">
        <f t="shared" si="1"/>
        <v>3.8132807363577825E-3</v>
      </c>
    </row>
    <row r="54" spans="15:31" x14ac:dyDescent="0.25">
      <c r="O54" s="82">
        <v>0.97</v>
      </c>
      <c r="P54" s="82">
        <f t="shared" si="9"/>
        <v>53.699199999999998</v>
      </c>
      <c r="T54" s="92" t="s">
        <v>110</v>
      </c>
      <c r="U54" s="130">
        <v>6626150</v>
      </c>
      <c r="W54" s="132">
        <v>42720</v>
      </c>
      <c r="X54" s="10">
        <v>77.040000000000006</v>
      </c>
      <c r="Y54" s="10">
        <v>78.37</v>
      </c>
      <c r="Z54" s="10">
        <v>76.47</v>
      </c>
      <c r="AA54" s="10">
        <v>76.75</v>
      </c>
      <c r="AB54" s="94">
        <v>8217400</v>
      </c>
      <c r="AC54" s="10">
        <v>76.05</v>
      </c>
      <c r="AD54" s="2">
        <f t="shared" si="0"/>
        <v>1.9000000000000057</v>
      </c>
      <c r="AE54" s="137">
        <f t="shared" si="1"/>
        <v>-3.015207131620401E-3</v>
      </c>
    </row>
    <row r="55" spans="15:31" x14ac:dyDescent="0.25">
      <c r="O55" s="82">
        <v>0.96</v>
      </c>
      <c r="P55" s="82">
        <f t="shared" si="9"/>
        <v>53.145599999999995</v>
      </c>
      <c r="T55" s="92" t="s">
        <v>108</v>
      </c>
      <c r="U55" s="129" t="s">
        <v>690</v>
      </c>
      <c r="W55" s="132">
        <v>42719</v>
      </c>
      <c r="X55" s="10">
        <v>77.14</v>
      </c>
      <c r="Y55" s="10">
        <v>77.69</v>
      </c>
      <c r="Z55" s="10">
        <v>76.790000000000006</v>
      </c>
      <c r="AA55" s="10">
        <v>76.98</v>
      </c>
      <c r="AB55" s="94">
        <v>4089400</v>
      </c>
      <c r="AC55" s="10">
        <v>76.28</v>
      </c>
      <c r="AD55" s="2">
        <f t="shared" si="0"/>
        <v>0.89999999999999147</v>
      </c>
      <c r="AE55" s="137">
        <f t="shared" si="1"/>
        <v>-2.7454569224734104E-3</v>
      </c>
    </row>
    <row r="56" spans="15:31" x14ac:dyDescent="0.25">
      <c r="O56" s="82">
        <v>0.95</v>
      </c>
      <c r="P56" s="82">
        <f t="shared" si="9"/>
        <v>52.591999999999999</v>
      </c>
      <c r="T56" s="92" t="s">
        <v>111</v>
      </c>
      <c r="U56" s="129">
        <v>10.199999999999999</v>
      </c>
      <c r="W56" s="132">
        <v>42718</v>
      </c>
      <c r="X56" s="10">
        <v>77.45</v>
      </c>
      <c r="Y56" s="10">
        <v>77.849999999999994</v>
      </c>
      <c r="Z56" s="10">
        <v>76.849999999999994</v>
      </c>
      <c r="AA56" s="10">
        <v>77.19</v>
      </c>
      <c r="AB56" s="94">
        <v>6045400</v>
      </c>
      <c r="AC56" s="10">
        <v>76.489999999999995</v>
      </c>
      <c r="AD56" s="2">
        <f t="shared" si="0"/>
        <v>1</v>
      </c>
      <c r="AE56" s="137">
        <f t="shared" si="1"/>
        <v>-6.1070686070685554E-3</v>
      </c>
    </row>
    <row r="57" spans="15:31" x14ac:dyDescent="0.25">
      <c r="O57" s="82">
        <v>0.94</v>
      </c>
      <c r="P57" s="82">
        <f t="shared" si="9"/>
        <v>52.038399999999996</v>
      </c>
      <c r="T57" s="92" t="s">
        <v>112</v>
      </c>
      <c r="U57" s="129">
        <v>5.62</v>
      </c>
      <c r="W57" s="132">
        <v>42717</v>
      </c>
      <c r="X57" s="10">
        <v>77</v>
      </c>
      <c r="Y57" s="10">
        <v>78.06</v>
      </c>
      <c r="Z57" s="10">
        <v>76.489999999999995</v>
      </c>
      <c r="AA57" s="10">
        <v>77.67</v>
      </c>
      <c r="AB57" s="94">
        <v>4925600</v>
      </c>
      <c r="AC57" s="10">
        <v>76.959999999999994</v>
      </c>
      <c r="AD57" s="2">
        <f t="shared" si="0"/>
        <v>1.5700000000000074</v>
      </c>
      <c r="AE57" s="137">
        <f t="shared" si="1"/>
        <v>1.2098895318253478E-2</v>
      </c>
    </row>
    <row r="58" spans="15:31" x14ac:dyDescent="0.25">
      <c r="O58" s="82">
        <v>0.93</v>
      </c>
      <c r="P58" s="82">
        <f t="shared" si="9"/>
        <v>51.4848</v>
      </c>
      <c r="T58" s="92" t="s">
        <v>109</v>
      </c>
      <c r="U58" s="129" t="s">
        <v>691</v>
      </c>
      <c r="W58" s="132">
        <v>42716</v>
      </c>
      <c r="X58" s="10">
        <v>76.98</v>
      </c>
      <c r="Y58" s="10">
        <v>77.430000000000007</v>
      </c>
      <c r="Z58" s="10">
        <v>76.349999999999994</v>
      </c>
      <c r="AA58" s="10">
        <v>76.739999999999995</v>
      </c>
      <c r="AB58" s="94">
        <v>4489300</v>
      </c>
      <c r="AC58" s="10">
        <v>76.040000000000006</v>
      </c>
      <c r="AD58" s="2">
        <f t="shared" si="0"/>
        <v>1.0800000000000125</v>
      </c>
      <c r="AE58" s="137">
        <f t="shared" si="1"/>
        <v>-8.3463745435576886E-3</v>
      </c>
    </row>
    <row r="59" spans="15:31" x14ac:dyDescent="0.25">
      <c r="O59" s="82">
        <v>0.92</v>
      </c>
      <c r="P59" s="82">
        <f t="shared" si="9"/>
        <v>50.931200000000004</v>
      </c>
      <c r="W59" s="132">
        <v>42713</v>
      </c>
      <c r="X59" s="10">
        <v>77.44</v>
      </c>
      <c r="Y59" s="10">
        <v>77.69</v>
      </c>
      <c r="Z59" s="10">
        <v>76.88</v>
      </c>
      <c r="AA59" s="10">
        <v>77.39</v>
      </c>
      <c r="AB59" s="94">
        <v>4047700</v>
      </c>
      <c r="AC59" s="10">
        <v>76.680000000000007</v>
      </c>
      <c r="AD59" s="2">
        <f t="shared" si="0"/>
        <v>0.81000000000000227</v>
      </c>
      <c r="AE59" s="137">
        <f t="shared" si="1"/>
        <v>-5.8343057176194479E-3</v>
      </c>
    </row>
    <row r="60" spans="15:31" x14ac:dyDescent="0.25">
      <c r="O60" s="82">
        <v>0.91</v>
      </c>
      <c r="P60" s="82">
        <f t="shared" si="9"/>
        <v>50.377600000000001</v>
      </c>
      <c r="W60" s="132">
        <v>42712</v>
      </c>
      <c r="X60" s="10">
        <v>77.349999999999994</v>
      </c>
      <c r="Y60" s="10">
        <v>78.42</v>
      </c>
      <c r="Z60" s="10">
        <v>77.16</v>
      </c>
      <c r="AA60" s="10">
        <v>77.84</v>
      </c>
      <c r="AB60" s="94">
        <v>5090500</v>
      </c>
      <c r="AC60" s="10">
        <v>77.13</v>
      </c>
      <c r="AD60" s="2">
        <f t="shared" si="0"/>
        <v>1.2600000000000051</v>
      </c>
      <c r="AE60" s="137">
        <f t="shared" si="1"/>
        <v>1.1275730955814911E-2</v>
      </c>
    </row>
    <row r="61" spans="15:31" x14ac:dyDescent="0.25">
      <c r="O61" s="82">
        <v>0.9</v>
      </c>
      <c r="P61" s="82">
        <f t="shared" si="9"/>
        <v>49.823999999999998</v>
      </c>
      <c r="W61" s="132">
        <v>42711</v>
      </c>
      <c r="X61" s="10">
        <v>76.790000000000006</v>
      </c>
      <c r="Y61" s="10">
        <v>77.180000000000007</v>
      </c>
      <c r="Z61" s="10">
        <v>76.099999999999994</v>
      </c>
      <c r="AA61" s="10">
        <v>76.97</v>
      </c>
      <c r="AB61" s="94">
        <v>6791000</v>
      </c>
      <c r="AC61" s="10">
        <v>76.27</v>
      </c>
      <c r="AD61" s="2">
        <f t="shared" si="0"/>
        <v>1.0800000000000125</v>
      </c>
      <c r="AE61" s="137">
        <f t="shared" si="1"/>
        <v>2.629157355067635E-3</v>
      </c>
    </row>
    <row r="62" spans="15:31" x14ac:dyDescent="0.25">
      <c r="W62" s="132">
        <v>42710</v>
      </c>
      <c r="X62" s="10">
        <v>76.91</v>
      </c>
      <c r="Y62" s="10">
        <v>77.08</v>
      </c>
      <c r="Z62" s="10">
        <v>76.05</v>
      </c>
      <c r="AA62" s="10">
        <v>76.77</v>
      </c>
      <c r="AB62" s="94">
        <v>7704200</v>
      </c>
      <c r="AC62" s="10">
        <v>76.069999999999993</v>
      </c>
      <c r="AD62" s="2">
        <f t="shared" si="0"/>
        <v>1.0300000000000011</v>
      </c>
      <c r="AE62" s="137">
        <f t="shared" si="1"/>
        <v>-2.7530152071316705E-3</v>
      </c>
    </row>
    <row r="63" spans="15:31" x14ac:dyDescent="0.25">
      <c r="W63" s="132">
        <v>42709</v>
      </c>
      <c r="X63" s="10">
        <v>78.010000000000005</v>
      </c>
      <c r="Y63" s="10">
        <v>78.08</v>
      </c>
      <c r="Z63" s="10">
        <v>76.8</v>
      </c>
      <c r="AA63" s="10">
        <v>76.98</v>
      </c>
      <c r="AB63" s="94">
        <v>7173300</v>
      </c>
      <c r="AC63" s="10">
        <v>76.28</v>
      </c>
      <c r="AD63" s="2">
        <f t="shared" si="0"/>
        <v>1.2800000000000011</v>
      </c>
      <c r="AE63" s="137">
        <f t="shared" si="1"/>
        <v>-1.2300919331865945E-2</v>
      </c>
    </row>
    <row r="64" spans="15:31" x14ac:dyDescent="0.25">
      <c r="W64" s="132">
        <v>42706</v>
      </c>
      <c r="X64" s="10">
        <v>77.239999999999995</v>
      </c>
      <c r="Y64" s="10">
        <v>78.400000000000006</v>
      </c>
      <c r="Z64" s="10">
        <v>76.83</v>
      </c>
      <c r="AA64" s="10">
        <v>77.94</v>
      </c>
      <c r="AB64" s="94">
        <v>7523700</v>
      </c>
      <c r="AC64" s="10">
        <v>77.23</v>
      </c>
      <c r="AD64" s="2">
        <f t="shared" si="0"/>
        <v>1.5700000000000074</v>
      </c>
      <c r="AE64" s="137">
        <f t="shared" si="1"/>
        <v>1.5562183893140791E-3</v>
      </c>
    </row>
    <row r="65" spans="23:31" x14ac:dyDescent="0.25">
      <c r="W65" s="132">
        <v>42705</v>
      </c>
      <c r="X65" s="10">
        <v>76.86</v>
      </c>
      <c r="Y65" s="10">
        <v>78.58</v>
      </c>
      <c r="Z65" s="10">
        <v>76.59</v>
      </c>
      <c r="AA65" s="10">
        <v>77.819999999999993</v>
      </c>
      <c r="AB65" s="94">
        <v>6685300</v>
      </c>
      <c r="AC65" s="10">
        <v>77.11</v>
      </c>
      <c r="AD65" s="2">
        <f t="shared" si="0"/>
        <v>1.9899999999999949</v>
      </c>
      <c r="AE65" s="137">
        <f t="shared" si="1"/>
        <v>7.5787272964851216E-3</v>
      </c>
    </row>
    <row r="66" spans="23:31" x14ac:dyDescent="0.25">
      <c r="W66" s="132">
        <v>42704</v>
      </c>
      <c r="X66" s="10">
        <v>77.73</v>
      </c>
      <c r="Y66" s="10">
        <v>78.040000000000006</v>
      </c>
      <c r="Z66" s="10">
        <v>77.06</v>
      </c>
      <c r="AA66" s="10">
        <v>77.239999999999995</v>
      </c>
      <c r="AB66" s="94">
        <v>5819100</v>
      </c>
      <c r="AC66" s="10">
        <v>76.53</v>
      </c>
      <c r="AD66" s="2">
        <f t="shared" si="0"/>
        <v>0.98000000000000398</v>
      </c>
      <c r="AE66" s="137">
        <f t="shared" si="1"/>
        <v>-1.4931136568412828E-2</v>
      </c>
    </row>
    <row r="67" spans="23:31" x14ac:dyDescent="0.25">
      <c r="W67" s="132">
        <v>42703</v>
      </c>
      <c r="X67" s="10">
        <v>78</v>
      </c>
      <c r="Y67" s="10">
        <v>78.69</v>
      </c>
      <c r="Z67" s="10">
        <v>77.75</v>
      </c>
      <c r="AA67" s="10">
        <v>78.41</v>
      </c>
      <c r="AB67" s="94">
        <v>4694000</v>
      </c>
      <c r="AC67" s="10">
        <v>77.69</v>
      </c>
      <c r="AD67" s="2">
        <f>Y67-Z67</f>
        <v>0.93999999999999773</v>
      </c>
      <c r="AE67" s="137" t="e">
        <f>AC67/#REF!-1</f>
        <v>#REF!</v>
      </c>
    </row>
    <row r="68" spans="23:31" x14ac:dyDescent="0.25">
      <c r="W68" s="132">
        <v>42702</v>
      </c>
      <c r="X68" s="10">
        <v>78.37</v>
      </c>
      <c r="Y68" s="10">
        <v>78.94</v>
      </c>
      <c r="Z68" s="10">
        <v>77.5</v>
      </c>
      <c r="AA68" s="10">
        <v>77.72</v>
      </c>
      <c r="AB68" s="94">
        <v>5405500</v>
      </c>
      <c r="AC68" s="10">
        <v>77.010000000000005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Q7">
    <cfRule type="expression" dxfId="331" priority="25">
      <formula>Q7&gt;0</formula>
    </cfRule>
    <cfRule type="expression" dxfId="330" priority="26">
      <formula>Q7&lt;0</formula>
    </cfRule>
  </conditionalFormatting>
  <conditionalFormatting sqref="Q8">
    <cfRule type="expression" dxfId="329" priority="23">
      <formula>Q8&gt;0</formula>
    </cfRule>
    <cfRule type="expression" dxfId="328" priority="24">
      <formula>Q8&lt;0</formula>
    </cfRule>
  </conditionalFormatting>
  <conditionalFormatting sqref="F24:F30">
    <cfRule type="expression" dxfId="327" priority="7">
      <formula>F24&gt;0</formula>
    </cfRule>
    <cfRule type="expression" dxfId="326" priority="8">
      <formula>F24&lt;0</formula>
    </cfRule>
  </conditionalFormatting>
  <conditionalFormatting sqref="H24:H30">
    <cfRule type="expression" dxfId="325" priority="5">
      <formula>H24&gt;0</formula>
    </cfRule>
    <cfRule type="expression" dxfId="324" priority="6">
      <formula>H24&lt;0</formula>
    </cfRule>
  </conditionalFormatting>
  <conditionalFormatting sqref="J29">
    <cfRule type="expression" dxfId="323" priority="3">
      <formula>J29&gt;0</formula>
    </cfRule>
    <cfRule type="expression" dxfId="322" priority="4">
      <formula>J29&lt;0</formula>
    </cfRule>
  </conditionalFormatting>
  <conditionalFormatting sqref="J30">
    <cfRule type="expression" dxfId="321" priority="1">
      <formula>J30&gt;0</formula>
    </cfRule>
    <cfRule type="expression" dxfId="320" priority="2">
      <formula>J30&lt;0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42797</v>
      </c>
      <c r="X2" s="10">
        <v>49.3</v>
      </c>
      <c r="Y2" s="10">
        <v>49.44</v>
      </c>
      <c r="Z2" s="10">
        <v>49.06</v>
      </c>
      <c r="AA2" s="10">
        <v>49.34</v>
      </c>
      <c r="AB2" s="94">
        <v>2620600</v>
      </c>
      <c r="AC2" s="10">
        <v>49.34</v>
      </c>
      <c r="AD2" s="2">
        <f>Y2-Z2</f>
        <v>0.37999999999999545</v>
      </c>
      <c r="AE2" s="137">
        <f>AC2/AC3-1</f>
        <v>2.0271639975688593E-4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48.67</v>
      </c>
      <c r="T3" s="1">
        <v>42312</v>
      </c>
      <c r="U3" t="s">
        <v>149</v>
      </c>
      <c r="W3" s="132">
        <v>42796</v>
      </c>
      <c r="X3" s="10">
        <v>49.7</v>
      </c>
      <c r="Y3" s="10">
        <v>49.77</v>
      </c>
      <c r="Z3" s="10">
        <v>49.27</v>
      </c>
      <c r="AA3" s="10">
        <v>49.33</v>
      </c>
      <c r="AB3" s="94">
        <v>2375500</v>
      </c>
      <c r="AC3" s="10">
        <v>49.33</v>
      </c>
      <c r="AD3" s="2">
        <f t="shared" ref="AD3:AD66" si="0">Y3-Z3</f>
        <v>0.5</v>
      </c>
      <c r="AE3" s="137">
        <f t="shared" ref="AE3:AE66" si="1">AC3/AC4-1</f>
        <v>-5.4435483870968193E-3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48.67</v>
      </c>
      <c r="R4" s="499">
        <v>4.7000000000000002E-3</v>
      </c>
      <c r="W4" s="132">
        <v>42795</v>
      </c>
      <c r="X4" s="10">
        <v>49.42</v>
      </c>
      <c r="Y4" s="10">
        <v>49.68</v>
      </c>
      <c r="Z4" s="10">
        <v>49.1</v>
      </c>
      <c r="AA4" s="10">
        <v>49.6</v>
      </c>
      <c r="AB4" s="94">
        <v>5008900</v>
      </c>
      <c r="AC4" s="10">
        <v>49.6</v>
      </c>
      <c r="AD4" s="2">
        <f t="shared" si="0"/>
        <v>0.57999999999999829</v>
      </c>
      <c r="AE4" s="137">
        <f t="shared" si="1"/>
        <v>1.162553538649802E-2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49.49</v>
      </c>
      <c r="Y5" s="10">
        <v>49.77</v>
      </c>
      <c r="Z5" s="10">
        <v>49.03</v>
      </c>
      <c r="AA5" s="10">
        <v>49.03</v>
      </c>
      <c r="AB5" s="94">
        <v>4434700</v>
      </c>
      <c r="AC5" s="10">
        <v>49.03</v>
      </c>
      <c r="AD5" s="2">
        <f t="shared" si="0"/>
        <v>0.74000000000000199</v>
      </c>
      <c r="AE5" s="137">
        <f t="shared" si="1"/>
        <v>-9.2948070317235842E-3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48.75</v>
      </c>
      <c r="Y6" s="10">
        <v>50.17</v>
      </c>
      <c r="Z6" s="10">
        <v>48.63</v>
      </c>
      <c r="AA6" s="10">
        <v>49.49</v>
      </c>
      <c r="AB6" s="94">
        <v>7966300</v>
      </c>
      <c r="AC6" s="10">
        <v>49.49</v>
      </c>
      <c r="AD6" s="2">
        <f t="shared" si="0"/>
        <v>1.5399999999999991</v>
      </c>
      <c r="AE6" s="137">
        <f t="shared" si="1"/>
        <v>1.6848161084857205E-2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42790</v>
      </c>
      <c r="X7" s="10">
        <v>46.78</v>
      </c>
      <c r="Y7" s="10">
        <v>48.83</v>
      </c>
      <c r="Z7" s="10">
        <v>46.53</v>
      </c>
      <c r="AA7" s="10">
        <v>48.67</v>
      </c>
      <c r="AB7" s="94">
        <v>8205300</v>
      </c>
      <c r="AC7" s="10">
        <v>48.67</v>
      </c>
      <c r="AD7" s="2">
        <f t="shared" si="0"/>
        <v>2.2999999999999972</v>
      </c>
      <c r="AE7" s="137" t="e">
        <f t="shared" si="1"/>
        <v>#DIV/0!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42790</v>
      </c>
      <c r="X8" s="10" t="s">
        <v>180</v>
      </c>
      <c r="Y8" s="10"/>
      <c r="Z8" s="10"/>
      <c r="AA8" s="10"/>
      <c r="AB8" s="94"/>
      <c r="AC8" s="10"/>
      <c r="AD8" s="2">
        <f t="shared" si="0"/>
        <v>0</v>
      </c>
      <c r="AE8" s="137">
        <f t="shared" si="1"/>
        <v>-1</v>
      </c>
    </row>
    <row r="9" spans="1:41" x14ac:dyDescent="0.25">
      <c r="O9" s="11" t="s">
        <v>213</v>
      </c>
      <c r="Q9" s="137">
        <f>IF(Q2=0, 0, Q8/Q6)</f>
        <v>0</v>
      </c>
      <c r="W9" s="132">
        <v>42789</v>
      </c>
      <c r="X9" s="10">
        <v>47.21</v>
      </c>
      <c r="Y9" s="10">
        <v>47.37</v>
      </c>
      <c r="Z9" s="10">
        <v>46.76</v>
      </c>
      <c r="AA9" s="10">
        <v>46.99</v>
      </c>
      <c r="AB9" s="94">
        <v>4076100</v>
      </c>
      <c r="AC9" s="10">
        <v>46.8</v>
      </c>
      <c r="AD9" s="2">
        <f t="shared" si="0"/>
        <v>0.60999999999999943</v>
      </c>
      <c r="AE9" s="137">
        <f t="shared" si="1"/>
        <v>-5.5248618784531356E-3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42788</v>
      </c>
      <c r="X10" s="10">
        <v>46.43</v>
      </c>
      <c r="Y10" s="10">
        <v>47.31</v>
      </c>
      <c r="Z10" s="10">
        <v>46.41</v>
      </c>
      <c r="AA10" s="10">
        <v>47.25</v>
      </c>
      <c r="AB10" s="94">
        <v>3314300</v>
      </c>
      <c r="AC10" s="10">
        <v>47.06</v>
      </c>
      <c r="AD10" s="2">
        <f t="shared" si="0"/>
        <v>0.90000000000000568</v>
      </c>
      <c r="AE10" s="137">
        <f t="shared" si="1"/>
        <v>1.6414686825054092E-2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1.54E-2</v>
      </c>
      <c r="W11" s="132">
        <v>42787</v>
      </c>
      <c r="X11" s="10">
        <v>46.78</v>
      </c>
      <c r="Y11" s="10">
        <v>46.88</v>
      </c>
      <c r="Z11" s="10">
        <v>46.31</v>
      </c>
      <c r="AA11" s="10">
        <v>46.49</v>
      </c>
      <c r="AB11" s="94">
        <v>3299400</v>
      </c>
      <c r="AC11" s="10">
        <v>46.3</v>
      </c>
      <c r="AD11" s="2">
        <f t="shared" si="0"/>
        <v>0.57000000000000028</v>
      </c>
      <c r="AE11" s="137">
        <f t="shared" si="1"/>
        <v>-3.2292787944027124E-3</v>
      </c>
    </row>
    <row r="12" spans="1:41" x14ac:dyDescent="0.25">
      <c r="W12" s="132">
        <v>42783</v>
      </c>
      <c r="X12" s="10">
        <v>46.77</v>
      </c>
      <c r="Y12" s="10">
        <v>47.24</v>
      </c>
      <c r="Z12" s="10">
        <v>46.53</v>
      </c>
      <c r="AA12" s="10">
        <v>46.64</v>
      </c>
      <c r="AB12" s="94">
        <v>3771700</v>
      </c>
      <c r="AC12" s="10">
        <v>46.45</v>
      </c>
      <c r="AD12" s="2">
        <f t="shared" si="0"/>
        <v>0.71000000000000085</v>
      </c>
      <c r="AE12" s="137">
        <f t="shared" si="1"/>
        <v>-5.140286999357313E-3</v>
      </c>
    </row>
    <row r="13" spans="1:41" x14ac:dyDescent="0.25">
      <c r="W13" s="132">
        <v>42782</v>
      </c>
      <c r="X13" s="10">
        <v>47.32</v>
      </c>
      <c r="Y13" s="10">
        <v>47.81</v>
      </c>
      <c r="Z13" s="10">
        <v>46.84</v>
      </c>
      <c r="AA13" s="10">
        <v>46.88</v>
      </c>
      <c r="AB13" s="94">
        <v>2478300</v>
      </c>
      <c r="AC13" s="10">
        <v>46.69</v>
      </c>
      <c r="AD13" s="2">
        <f t="shared" si="0"/>
        <v>0.96999999999999886</v>
      </c>
      <c r="AE13" s="137">
        <f t="shared" si="1"/>
        <v>-8.2837723024639098E-3</v>
      </c>
    </row>
    <row r="14" spans="1:41" x14ac:dyDescent="0.25">
      <c r="W14" s="132">
        <v>42781</v>
      </c>
      <c r="X14" s="10">
        <v>47.48</v>
      </c>
      <c r="Y14" s="10">
        <v>47.6</v>
      </c>
      <c r="Z14" s="10">
        <v>47.12</v>
      </c>
      <c r="AA14" s="10">
        <v>47.27</v>
      </c>
      <c r="AB14" s="94">
        <v>3219700</v>
      </c>
      <c r="AC14" s="10">
        <v>47.08</v>
      </c>
      <c r="AD14" s="2">
        <f t="shared" si="0"/>
        <v>0.48000000000000398</v>
      </c>
      <c r="AE14" s="137">
        <f t="shared" si="1"/>
        <v>-5.4921841994086673E-3</v>
      </c>
    </row>
    <row r="15" spans="1:41" x14ac:dyDescent="0.25">
      <c r="W15" s="132">
        <v>42780</v>
      </c>
      <c r="X15" s="10">
        <v>46.9</v>
      </c>
      <c r="Y15" s="10">
        <v>47.56</v>
      </c>
      <c r="Z15" s="10">
        <v>46.87</v>
      </c>
      <c r="AA15" s="10">
        <v>47.53</v>
      </c>
      <c r="AB15" s="94">
        <v>3489000</v>
      </c>
      <c r="AC15" s="10">
        <v>47.34</v>
      </c>
      <c r="AD15" s="2">
        <f t="shared" si="0"/>
        <v>0.69000000000000483</v>
      </c>
      <c r="AE15" s="137">
        <f t="shared" si="1"/>
        <v>1.0027736291871259E-2</v>
      </c>
    </row>
    <row r="16" spans="1:41" x14ac:dyDescent="0.25">
      <c r="W16" s="132">
        <v>42779</v>
      </c>
      <c r="X16" s="10">
        <v>47.2</v>
      </c>
      <c r="Y16" s="10">
        <v>47.53</v>
      </c>
      <c r="Z16" s="10">
        <v>46.56</v>
      </c>
      <c r="AA16" s="10">
        <v>47.06</v>
      </c>
      <c r="AB16" s="94">
        <v>3372400</v>
      </c>
      <c r="AC16" s="10">
        <v>46.87</v>
      </c>
      <c r="AD16" s="2">
        <f t="shared" si="0"/>
        <v>0.96999999999999886</v>
      </c>
      <c r="AE16" s="137">
        <f t="shared" si="1"/>
        <v>1.4957264957264904E-3</v>
      </c>
    </row>
    <row r="17" spans="1:31" x14ac:dyDescent="0.25">
      <c r="W17" s="132">
        <v>42776</v>
      </c>
      <c r="X17" s="10">
        <v>46.38</v>
      </c>
      <c r="Y17" s="10">
        <v>47.2</v>
      </c>
      <c r="Z17" s="10">
        <v>45.93</v>
      </c>
      <c r="AA17" s="10">
        <v>46.99</v>
      </c>
      <c r="AB17" s="94">
        <v>7859000</v>
      </c>
      <c r="AC17" s="10">
        <v>46.8</v>
      </c>
      <c r="AD17" s="2">
        <f t="shared" si="0"/>
        <v>1.2700000000000031</v>
      </c>
      <c r="AE17" s="137">
        <f t="shared" si="1"/>
        <v>1.4304291287386084E-2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2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42775</v>
      </c>
      <c r="X18" s="10">
        <v>46.17</v>
      </c>
      <c r="Y18" s="10">
        <v>46.52</v>
      </c>
      <c r="Z18" s="10">
        <v>45.82</v>
      </c>
      <c r="AA18" s="10">
        <v>46.33</v>
      </c>
      <c r="AB18" s="94">
        <v>4018800</v>
      </c>
      <c r="AC18" s="10">
        <v>46.14</v>
      </c>
      <c r="AD18" s="2">
        <f t="shared" si="0"/>
        <v>0.70000000000000284</v>
      </c>
      <c r="AE18" s="137">
        <f t="shared" si="1"/>
        <v>3.4797738147021029E-3</v>
      </c>
    </row>
    <row r="19" spans="1:31" x14ac:dyDescent="0.25">
      <c r="G19" s="2"/>
      <c r="W19" s="132">
        <v>42774</v>
      </c>
      <c r="X19" s="10">
        <v>45.84</v>
      </c>
      <c r="Y19" s="10">
        <v>46.31</v>
      </c>
      <c r="Z19" s="10">
        <v>45.35</v>
      </c>
      <c r="AA19" s="10">
        <v>46.17</v>
      </c>
      <c r="AB19" s="94">
        <v>5961200</v>
      </c>
      <c r="AC19" s="10">
        <v>45.98</v>
      </c>
      <c r="AD19" s="2">
        <f t="shared" si="0"/>
        <v>0.96000000000000085</v>
      </c>
      <c r="AE19" s="137">
        <f t="shared" si="1"/>
        <v>1.4115571239523561E-2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42773</v>
      </c>
      <c r="X20" s="10">
        <v>44.44</v>
      </c>
      <c r="Y20" s="10">
        <v>45.94</v>
      </c>
      <c r="Z20" s="10">
        <v>44.39</v>
      </c>
      <c r="AA20" s="10">
        <v>45.52</v>
      </c>
      <c r="AB20" s="94">
        <v>8683300</v>
      </c>
      <c r="AC20" s="10">
        <v>45.34</v>
      </c>
      <c r="AD20" s="2">
        <f t="shared" si="0"/>
        <v>1.5499999999999972</v>
      </c>
      <c r="AE20" s="137">
        <f t="shared" si="1"/>
        <v>2.9284903518728811E-2</v>
      </c>
    </row>
    <row r="21" spans="1:31" x14ac:dyDescent="0.25">
      <c r="B21" s="192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0">
        <f>(E21-D21)/D21</f>
        <v>-1.6581321628871E-2</v>
      </c>
      <c r="I21" s="230"/>
      <c r="W21" s="132">
        <v>42772</v>
      </c>
      <c r="X21" s="10">
        <v>44.95</v>
      </c>
      <c r="Y21" s="10">
        <v>45.22</v>
      </c>
      <c r="Z21" s="10">
        <v>43.43</v>
      </c>
      <c r="AA21" s="10">
        <v>44.23</v>
      </c>
      <c r="AB21" s="94">
        <v>15093600</v>
      </c>
      <c r="AC21" s="10">
        <v>44.05</v>
      </c>
      <c r="AD21" s="2">
        <f t="shared" si="0"/>
        <v>1.7899999999999991</v>
      </c>
      <c r="AE21" s="137">
        <f t="shared" si="1"/>
        <v>-5.6745182012848061E-2</v>
      </c>
    </row>
    <row r="22" spans="1:31" x14ac:dyDescent="0.25">
      <c r="B22" s="192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0">
        <f>(E22-D22)/D22</f>
        <v>-8.5793590714105611E-2</v>
      </c>
      <c r="I22" s="230"/>
      <c r="W22" s="132">
        <v>42769</v>
      </c>
      <c r="X22" s="10">
        <v>47.68</v>
      </c>
      <c r="Y22" s="10">
        <v>47.83</v>
      </c>
      <c r="Z22" s="10">
        <v>46.81</v>
      </c>
      <c r="AA22" s="10">
        <v>46.89</v>
      </c>
      <c r="AB22" s="94">
        <v>6916100</v>
      </c>
      <c r="AC22" s="10">
        <v>46.7</v>
      </c>
      <c r="AD22" s="2">
        <f t="shared" si="0"/>
        <v>1.019999999999996</v>
      </c>
      <c r="AE22" s="137">
        <f t="shared" si="1"/>
        <v>-1.9319613607727715E-2</v>
      </c>
    </row>
    <row r="23" spans="1:31" x14ac:dyDescent="0.25">
      <c r="B23" s="192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0">
        <f>(E23-D23)/D23</f>
        <v>-5.4756497602826179E-2</v>
      </c>
      <c r="I23" s="230"/>
      <c r="W23" s="132">
        <v>42768</v>
      </c>
      <c r="X23" s="10">
        <v>47.42</v>
      </c>
      <c r="Y23" s="10">
        <v>47.97</v>
      </c>
      <c r="Z23" s="10">
        <v>47.09</v>
      </c>
      <c r="AA23" s="10">
        <v>47.81</v>
      </c>
      <c r="AB23" s="94">
        <v>4524800</v>
      </c>
      <c r="AC23" s="10">
        <v>47.62</v>
      </c>
      <c r="AD23" s="2">
        <f t="shared" si="0"/>
        <v>0.87999999999999545</v>
      </c>
      <c r="AE23" s="137">
        <f t="shared" si="1"/>
        <v>7.6174354633939956E-3</v>
      </c>
    </row>
    <row r="24" spans="1:31" x14ac:dyDescent="0.25">
      <c r="B24" s="192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0">
        <f t="shared" ref="H24:H30" si="4">(E24-D24)/D24</f>
        <v>-3.9470397202098384E-2</v>
      </c>
      <c r="I24" s="230"/>
      <c r="W24" s="132">
        <v>42767</v>
      </c>
      <c r="X24" s="10">
        <v>47.3</v>
      </c>
      <c r="Y24" s="10">
        <v>47.58</v>
      </c>
      <c r="Z24" s="10">
        <v>46.91</v>
      </c>
      <c r="AA24" s="10">
        <v>47.45</v>
      </c>
      <c r="AB24" s="94">
        <v>3928000</v>
      </c>
      <c r="AC24" s="10">
        <v>47.26</v>
      </c>
      <c r="AD24" s="2">
        <f t="shared" si="0"/>
        <v>0.67000000000000171</v>
      </c>
      <c r="AE24" s="137">
        <f t="shared" si="1"/>
        <v>2.545608824777279E-3</v>
      </c>
    </row>
    <row r="25" spans="1:31" x14ac:dyDescent="0.25">
      <c r="B25" s="192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1">
        <f t="shared" si="4"/>
        <v>-6.9474703461631676E-2</v>
      </c>
      <c r="I25" s="231"/>
      <c r="W25" s="132">
        <v>42766</v>
      </c>
      <c r="X25" s="10">
        <v>46.02</v>
      </c>
      <c r="Y25" s="10">
        <v>47.34</v>
      </c>
      <c r="Z25" s="10">
        <v>45.95</v>
      </c>
      <c r="AA25" s="10">
        <v>47.33</v>
      </c>
      <c r="AB25" s="94">
        <v>3931700</v>
      </c>
      <c r="AC25" s="10">
        <v>47.14</v>
      </c>
      <c r="AD25" s="2">
        <f t="shared" si="0"/>
        <v>1.3900000000000006</v>
      </c>
      <c r="AE25" s="137">
        <f t="shared" si="1"/>
        <v>2.2781514428292349E-2</v>
      </c>
    </row>
    <row r="26" spans="1:31" x14ac:dyDescent="0.25">
      <c r="B26" s="192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1">
        <f t="shared" si="4"/>
        <v>-4.3572984749455437E-2</v>
      </c>
      <c r="I26" s="231"/>
      <c r="W26" s="132">
        <v>42765</v>
      </c>
      <c r="X26" s="10">
        <v>46.1</v>
      </c>
      <c r="Y26" s="10">
        <v>46.3</v>
      </c>
      <c r="Z26" s="10">
        <v>45.52</v>
      </c>
      <c r="AA26" s="10">
        <v>46.28</v>
      </c>
      <c r="AB26" s="94">
        <v>3931900</v>
      </c>
      <c r="AC26" s="10">
        <v>46.09</v>
      </c>
      <c r="AD26" s="2">
        <f t="shared" si="0"/>
        <v>0.77999999999999403</v>
      </c>
      <c r="AE26" s="137">
        <f t="shared" si="1"/>
        <v>3.2651284283848891E-3</v>
      </c>
    </row>
    <row r="27" spans="1:31" x14ac:dyDescent="0.25">
      <c r="B27" s="192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1">
        <f t="shared" si="4"/>
        <v>-2.4089093330105251E-2</v>
      </c>
      <c r="I27" s="231"/>
      <c r="W27" s="132">
        <v>42762</v>
      </c>
      <c r="X27" s="10">
        <v>46.26</v>
      </c>
      <c r="Y27" s="10">
        <v>46.33</v>
      </c>
      <c r="Z27" s="10">
        <v>45.68</v>
      </c>
      <c r="AA27" s="10">
        <v>46.13</v>
      </c>
      <c r="AB27" s="94">
        <v>4259800</v>
      </c>
      <c r="AC27" s="10">
        <v>45.94</v>
      </c>
      <c r="AD27" s="2">
        <f t="shared" si="0"/>
        <v>0.64999999999999858</v>
      </c>
      <c r="AE27" s="137">
        <f t="shared" si="1"/>
        <v>-4.7660311958405144E-3</v>
      </c>
    </row>
    <row r="28" spans="1:31" x14ac:dyDescent="0.25">
      <c r="B28" s="192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1">
        <f t="shared" si="4"/>
        <v>-7.8682968163661261E-3</v>
      </c>
      <c r="I28" s="231"/>
      <c r="W28" s="132">
        <v>42761</v>
      </c>
      <c r="X28" s="10">
        <v>46.86</v>
      </c>
      <c r="Y28" s="10">
        <v>47</v>
      </c>
      <c r="Z28" s="10">
        <v>46.18</v>
      </c>
      <c r="AA28" s="10">
        <v>46.35</v>
      </c>
      <c r="AB28" s="94">
        <v>3665300</v>
      </c>
      <c r="AC28" s="10">
        <v>46.16</v>
      </c>
      <c r="AD28" s="2">
        <f t="shared" si="0"/>
        <v>0.82000000000000028</v>
      </c>
      <c r="AE28" s="137">
        <f t="shared" si="1"/>
        <v>-1.2197731649903676E-2</v>
      </c>
    </row>
    <row r="29" spans="1:31" x14ac:dyDescent="0.25">
      <c r="B29" s="192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1">
        <f t="shared" si="4"/>
        <v>-4.1520397046362338E-2</v>
      </c>
      <c r="I29" s="231"/>
      <c r="W29" s="132">
        <v>42760</v>
      </c>
      <c r="X29" s="10">
        <v>47.36</v>
      </c>
      <c r="Y29" s="10">
        <v>47.54</v>
      </c>
      <c r="Z29" s="10">
        <v>46.75</v>
      </c>
      <c r="AA29" s="10">
        <v>46.92</v>
      </c>
      <c r="AB29" s="94">
        <v>5380100</v>
      </c>
      <c r="AC29" s="10">
        <v>46.73</v>
      </c>
      <c r="AD29" s="2">
        <f t="shared" si="0"/>
        <v>0.78999999999999915</v>
      </c>
      <c r="AE29" s="137">
        <f t="shared" si="1"/>
        <v>-5.5330921472654948E-3</v>
      </c>
    </row>
    <row r="30" spans="1:31" x14ac:dyDescent="0.25">
      <c r="B30" s="192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1">
        <f t="shared" si="4"/>
        <v>1.5736593632731564E-3</v>
      </c>
      <c r="I30" s="231"/>
      <c r="W30" s="132">
        <v>42759</v>
      </c>
      <c r="X30" s="10">
        <v>46.57</v>
      </c>
      <c r="Y30" s="10">
        <v>47.57</v>
      </c>
      <c r="Z30" s="10">
        <v>46.42</v>
      </c>
      <c r="AA30" s="10">
        <v>47.18</v>
      </c>
      <c r="AB30" s="94">
        <v>3770000</v>
      </c>
      <c r="AC30" s="10">
        <v>46.99</v>
      </c>
      <c r="AD30" s="2">
        <f t="shared" si="0"/>
        <v>1.1499999999999986</v>
      </c>
      <c r="AE30" s="137">
        <f t="shared" si="1"/>
        <v>1.6439541423318271E-2</v>
      </c>
    </row>
    <row r="31" spans="1:31" x14ac:dyDescent="0.25">
      <c r="B31" s="192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1">
        <f>(E31-D31)/D31</f>
        <v>2.1990457963879731E-2</v>
      </c>
      <c r="I31" s="231" t="s">
        <v>185</v>
      </c>
      <c r="W31" s="132">
        <v>42758</v>
      </c>
      <c r="X31" s="10">
        <v>45.91</v>
      </c>
      <c r="Y31" s="10">
        <v>46.57</v>
      </c>
      <c r="Z31" s="10">
        <v>45.75</v>
      </c>
      <c r="AA31" s="10">
        <v>46.42</v>
      </c>
      <c r="AB31" s="94">
        <v>3628900</v>
      </c>
      <c r="AC31" s="10">
        <v>46.23</v>
      </c>
      <c r="AD31" s="2">
        <f t="shared" si="0"/>
        <v>0.82000000000000028</v>
      </c>
      <c r="AE31" s="137">
        <f t="shared" si="1"/>
        <v>7.4090215733273457E-3</v>
      </c>
    </row>
    <row r="32" spans="1:31" x14ac:dyDescent="0.25">
      <c r="B32" s="192">
        <v>42447</v>
      </c>
      <c r="C32" s="10">
        <v>0</v>
      </c>
      <c r="D32" s="40"/>
      <c r="E32" s="40"/>
      <c r="F32" s="40">
        <v>75.02</v>
      </c>
      <c r="G32" s="40"/>
      <c r="H32" s="231"/>
      <c r="I32" s="231"/>
      <c r="W32" s="132">
        <v>42755</v>
      </c>
      <c r="X32" s="10">
        <v>46.29</v>
      </c>
      <c r="Y32" s="10">
        <v>46.72</v>
      </c>
      <c r="Z32" s="10">
        <v>45.88</v>
      </c>
      <c r="AA32" s="10">
        <v>46.08</v>
      </c>
      <c r="AB32" s="94">
        <v>3264100</v>
      </c>
      <c r="AC32" s="10">
        <v>45.89</v>
      </c>
      <c r="AD32" s="2">
        <f t="shared" si="0"/>
        <v>0.83999999999999631</v>
      </c>
      <c r="AE32" s="137">
        <f t="shared" si="1"/>
        <v>2.4027959807775279E-3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42754</v>
      </c>
      <c r="X33" s="10">
        <v>47.59</v>
      </c>
      <c r="Y33" s="10">
        <v>47.65</v>
      </c>
      <c r="Z33" s="10">
        <v>45.82</v>
      </c>
      <c r="AA33" s="10">
        <v>45.97</v>
      </c>
      <c r="AB33" s="94">
        <v>4074900</v>
      </c>
      <c r="AC33" s="10">
        <v>45.78</v>
      </c>
      <c r="AD33" s="2">
        <f t="shared" si="0"/>
        <v>1.8299999999999983</v>
      </c>
      <c r="AE33" s="137">
        <f t="shared" si="1"/>
        <v>-3.3361486486486402E-2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42753</v>
      </c>
      <c r="X34" s="10">
        <v>47.71</v>
      </c>
      <c r="Y34" s="10">
        <v>47.75</v>
      </c>
      <c r="Z34" s="10">
        <v>47.05</v>
      </c>
      <c r="AA34" s="10">
        <v>47.55</v>
      </c>
      <c r="AB34" s="94">
        <v>2855100</v>
      </c>
      <c r="AC34" s="10">
        <v>47.36</v>
      </c>
      <c r="AD34" s="2">
        <f t="shared" si="0"/>
        <v>0.70000000000000284</v>
      </c>
      <c r="AE34" s="137">
        <f t="shared" si="1"/>
        <v>-3.3670033670034627E-3</v>
      </c>
    </row>
    <row r="35" spans="1:31" x14ac:dyDescent="0.25">
      <c r="W35" s="132">
        <v>42752</v>
      </c>
      <c r="X35" s="10">
        <v>46.75</v>
      </c>
      <c r="Y35" s="10">
        <v>47.72</v>
      </c>
      <c r="Z35" s="10">
        <v>46.6</v>
      </c>
      <c r="AA35" s="10">
        <v>47.71</v>
      </c>
      <c r="AB35" s="94">
        <v>3271100</v>
      </c>
      <c r="AC35" s="10">
        <v>47.52</v>
      </c>
      <c r="AD35" s="2">
        <f t="shared" si="0"/>
        <v>1.1199999999999974</v>
      </c>
      <c r="AE35" s="137">
        <f t="shared" si="1"/>
        <v>1.5167699209570618E-2</v>
      </c>
    </row>
    <row r="36" spans="1:31" x14ac:dyDescent="0.25">
      <c r="L36" t="s">
        <v>214</v>
      </c>
      <c r="M36" s="2">
        <f>M50+K50-F50</f>
        <v>75.019999999999982</v>
      </c>
      <c r="W36" s="132">
        <v>42748</v>
      </c>
      <c r="X36" s="10">
        <v>47.02</v>
      </c>
      <c r="Y36" s="10">
        <v>47.4</v>
      </c>
      <c r="Z36" s="10">
        <v>46.74</v>
      </c>
      <c r="AA36" s="10">
        <v>47</v>
      </c>
      <c r="AB36" s="94">
        <v>3650300</v>
      </c>
      <c r="AC36" s="10">
        <v>46.81</v>
      </c>
      <c r="AD36" s="2">
        <f t="shared" si="0"/>
        <v>0.65999999999999659</v>
      </c>
      <c r="AE36" s="137">
        <f t="shared" si="1"/>
        <v>-2.5569997869165917E-3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42747</v>
      </c>
      <c r="X37" s="10">
        <v>46.65</v>
      </c>
      <c r="Y37" s="10">
        <v>47.32</v>
      </c>
      <c r="Z37" s="10">
        <v>46.55</v>
      </c>
      <c r="AA37" s="10">
        <v>47.12</v>
      </c>
      <c r="AB37" s="94">
        <v>3148500</v>
      </c>
      <c r="AC37" s="10">
        <v>46.93</v>
      </c>
      <c r="AD37" s="2">
        <f t="shared" si="0"/>
        <v>0.77000000000000313</v>
      </c>
      <c r="AE37" s="137">
        <f t="shared" si="1"/>
        <v>5.1402869993575351E-3</v>
      </c>
    </row>
    <row r="38" spans="1:31" x14ac:dyDescent="0.25">
      <c r="A38" s="387" t="s">
        <v>176</v>
      </c>
      <c r="B38" s="377">
        <v>42376</v>
      </c>
      <c r="C38" s="378">
        <v>60</v>
      </c>
      <c r="D38" s="379">
        <v>41.01</v>
      </c>
      <c r="E38" s="379">
        <v>0</v>
      </c>
      <c r="F38" s="379">
        <f>C38*D38</f>
        <v>2460.6</v>
      </c>
      <c r="G38" s="377">
        <v>42426</v>
      </c>
      <c r="H38" s="382">
        <v>20</v>
      </c>
      <c r="I38" s="379">
        <v>38.450000000000003</v>
      </c>
      <c r="J38" s="379">
        <v>0.02</v>
      </c>
      <c r="K38" s="379">
        <f>H38*I38-J38</f>
        <v>768.98</v>
      </c>
      <c r="L38" s="377">
        <v>42444</v>
      </c>
      <c r="M38" s="379">
        <v>15.2</v>
      </c>
      <c r="W38" s="132">
        <v>42746</v>
      </c>
      <c r="X38" s="10">
        <v>46.85</v>
      </c>
      <c r="Y38" s="10">
        <v>47.02</v>
      </c>
      <c r="Z38" s="10">
        <v>46.61</v>
      </c>
      <c r="AA38" s="10">
        <v>46.88</v>
      </c>
      <c r="AB38" s="94">
        <v>4427500</v>
      </c>
      <c r="AC38" s="10">
        <v>46.69</v>
      </c>
      <c r="AD38" s="2">
        <f t="shared" si="0"/>
        <v>0.41000000000000369</v>
      </c>
      <c r="AE38" s="137">
        <f t="shared" si="1"/>
        <v>-1.923899102180493E-3</v>
      </c>
    </row>
    <row r="39" spans="1:31" x14ac:dyDescent="0.25">
      <c r="A39" s="388" t="s">
        <v>71</v>
      </c>
      <c r="B39" s="377">
        <v>42403</v>
      </c>
      <c r="C39" s="378">
        <v>20</v>
      </c>
      <c r="D39" s="379">
        <v>35.5</v>
      </c>
      <c r="E39" s="379">
        <v>0</v>
      </c>
      <c r="F39" s="379">
        <f>C39*D39</f>
        <v>710</v>
      </c>
      <c r="G39" s="377">
        <v>42426</v>
      </c>
      <c r="H39" s="382">
        <v>30</v>
      </c>
      <c r="I39" s="379">
        <v>38.75</v>
      </c>
      <c r="J39" s="379">
        <v>0.03</v>
      </c>
      <c r="K39" s="379">
        <f>H39*I39-J39</f>
        <v>1162.47</v>
      </c>
      <c r="L39" s="378"/>
      <c r="M39" s="378"/>
      <c r="W39" s="132">
        <v>42745</v>
      </c>
      <c r="X39" s="10">
        <v>47.09</v>
      </c>
      <c r="Y39" s="10">
        <v>47.2</v>
      </c>
      <c r="Z39" s="10">
        <v>46.73</v>
      </c>
      <c r="AA39" s="10">
        <v>46.97</v>
      </c>
      <c r="AB39" s="94">
        <v>4216400</v>
      </c>
      <c r="AC39" s="10">
        <v>46.78</v>
      </c>
      <c r="AD39" s="2">
        <f t="shared" si="0"/>
        <v>0.47000000000000597</v>
      </c>
      <c r="AE39" s="137">
        <f t="shared" si="1"/>
        <v>6.4171122994660657E-4</v>
      </c>
    </row>
    <row r="40" spans="1:31" x14ac:dyDescent="0.25">
      <c r="A40" s="378"/>
      <c r="B40" s="378"/>
      <c r="C40" s="378"/>
      <c r="D40" s="379"/>
      <c r="E40" s="379"/>
      <c r="F40" s="379"/>
      <c r="G40" s="377">
        <v>42447</v>
      </c>
      <c r="H40" s="382">
        <v>30</v>
      </c>
      <c r="I40" s="379">
        <v>43.3</v>
      </c>
      <c r="J40" s="379">
        <v>0.03</v>
      </c>
      <c r="K40" s="379">
        <f>H40*I40-J40</f>
        <v>1298.97</v>
      </c>
      <c r="L40" s="378"/>
      <c r="M40" s="378"/>
      <c r="W40" s="132">
        <v>42744</v>
      </c>
      <c r="X40" s="10">
        <v>46.67</v>
      </c>
      <c r="Y40" s="10">
        <v>47.13</v>
      </c>
      <c r="Z40" s="10">
        <v>46.53</v>
      </c>
      <c r="AA40" s="10">
        <v>46.94</v>
      </c>
      <c r="AB40" s="94">
        <v>3543600</v>
      </c>
      <c r="AC40" s="10">
        <v>46.75</v>
      </c>
      <c r="AD40" s="2">
        <f t="shared" si="0"/>
        <v>0.60000000000000142</v>
      </c>
      <c r="AE40" s="137">
        <f t="shared" si="1"/>
        <v>1.7141632740518276E-3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42741</v>
      </c>
      <c r="X41" s="10">
        <v>46.64</v>
      </c>
      <c r="Y41" s="10">
        <v>47.03</v>
      </c>
      <c r="Z41" s="10">
        <v>46.19</v>
      </c>
      <c r="AA41" s="10">
        <v>46.86</v>
      </c>
      <c r="AB41" s="94">
        <v>3605100</v>
      </c>
      <c r="AC41" s="10">
        <v>46.67</v>
      </c>
      <c r="AD41" s="2">
        <f t="shared" si="0"/>
        <v>0.84000000000000341</v>
      </c>
      <c r="AE41" s="137">
        <f t="shared" si="1"/>
        <v>3.8718003871800466E-3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244" t="s">
        <v>78</v>
      </c>
      <c r="P42" s="244"/>
      <c r="Q42" s="34"/>
      <c r="R42" s="34"/>
      <c r="T42" s="90" t="s">
        <v>113</v>
      </c>
      <c r="W42" s="132">
        <v>42740</v>
      </c>
      <c r="X42" s="10">
        <v>46.25</v>
      </c>
      <c r="Y42" s="10">
        <v>46.76</v>
      </c>
      <c r="Z42" s="10">
        <v>46.11</v>
      </c>
      <c r="AA42" s="10">
        <v>46.68</v>
      </c>
      <c r="AB42" s="94">
        <v>3151100</v>
      </c>
      <c r="AC42" s="10">
        <v>46.49</v>
      </c>
      <c r="AD42" s="2">
        <f t="shared" si="0"/>
        <v>0.64999999999999858</v>
      </c>
      <c r="AE42" s="137">
        <f t="shared" si="1"/>
        <v>3.6701208981002598E-3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53.537000000000006</v>
      </c>
      <c r="Q43" s="34"/>
      <c r="R43" s="34"/>
      <c r="T43" s="127" t="s">
        <v>98</v>
      </c>
      <c r="U43" s="97">
        <v>49.33</v>
      </c>
      <c r="W43" s="132">
        <v>42739</v>
      </c>
      <c r="X43" s="10">
        <v>45</v>
      </c>
      <c r="Y43" s="10">
        <v>46.61</v>
      </c>
      <c r="Z43" s="10">
        <v>44.98</v>
      </c>
      <c r="AA43" s="10">
        <v>46.51</v>
      </c>
      <c r="AB43" s="94">
        <v>5471200</v>
      </c>
      <c r="AC43" s="10">
        <v>46.32</v>
      </c>
      <c r="AD43" s="2">
        <f t="shared" si="0"/>
        <v>1.6300000000000026</v>
      </c>
      <c r="AE43" s="137">
        <f t="shared" si="1"/>
        <v>3.5315154224407674E-2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5">O44*$Q$4</f>
        <v>53.050300000000007</v>
      </c>
      <c r="Q44" s="34"/>
      <c r="R44" s="34"/>
      <c r="T44" s="92" t="s">
        <v>99</v>
      </c>
      <c r="U44" s="87">
        <v>49.3</v>
      </c>
      <c r="W44" s="132">
        <v>42738</v>
      </c>
      <c r="X44" s="10">
        <v>45</v>
      </c>
      <c r="Y44" s="10">
        <v>45.55</v>
      </c>
      <c r="Z44" s="10">
        <v>44.75</v>
      </c>
      <c r="AA44" s="10">
        <v>44.92</v>
      </c>
      <c r="AB44" s="94">
        <v>3827600</v>
      </c>
      <c r="AC44" s="10">
        <v>44.74</v>
      </c>
      <c r="AD44" s="2">
        <f t="shared" si="0"/>
        <v>0.79999999999999716</v>
      </c>
      <c r="AE44" s="137">
        <f t="shared" si="1"/>
        <v>6.0715088823926067E-3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5"/>
        <v>52.563600000000008</v>
      </c>
      <c r="Q45" s="34"/>
      <c r="R45" s="34"/>
      <c r="T45" s="92" t="s">
        <v>100</v>
      </c>
      <c r="U45" s="87" t="s">
        <v>129</v>
      </c>
      <c r="W45" s="132">
        <v>42734</v>
      </c>
      <c r="X45" s="10">
        <v>45.43</v>
      </c>
      <c r="Y45" s="10">
        <v>45.43</v>
      </c>
      <c r="Z45" s="10">
        <v>44.5</v>
      </c>
      <c r="AA45" s="10">
        <v>44.65</v>
      </c>
      <c r="AB45" s="94">
        <v>2071400</v>
      </c>
      <c r="AC45" s="10">
        <v>44.47</v>
      </c>
      <c r="AD45" s="2">
        <f t="shared" si="0"/>
        <v>0.92999999999999972</v>
      </c>
      <c r="AE45" s="137">
        <f t="shared" si="1"/>
        <v>-1.4406028368794344E-2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5"/>
        <v>52.076900000000002</v>
      </c>
      <c r="Q46" s="82"/>
      <c r="R46" s="34"/>
      <c r="T46" s="92" t="s">
        <v>101</v>
      </c>
      <c r="U46" s="87" t="s">
        <v>129</v>
      </c>
      <c r="W46" s="132">
        <v>42733</v>
      </c>
      <c r="X46" s="10">
        <v>45.31</v>
      </c>
      <c r="Y46" s="10">
        <v>45.49</v>
      </c>
      <c r="Z46" s="10">
        <v>44.98</v>
      </c>
      <c r="AA46" s="10">
        <v>45.3</v>
      </c>
      <c r="AB46" s="94">
        <v>1812900</v>
      </c>
      <c r="AC46" s="10">
        <v>45.12</v>
      </c>
      <c r="AD46" s="2">
        <f t="shared" si="0"/>
        <v>0.51000000000000512</v>
      </c>
      <c r="AE46" s="137">
        <f t="shared" si="1"/>
        <v>-1.5490152688647507E-3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5"/>
        <v>51.590200000000003</v>
      </c>
      <c r="Q47" s="82"/>
      <c r="R47" s="34"/>
      <c r="T47" s="92" t="s">
        <v>102</v>
      </c>
      <c r="U47" s="87">
        <v>56.75</v>
      </c>
      <c r="W47" s="132">
        <v>42732</v>
      </c>
      <c r="X47" s="10">
        <v>45.75</v>
      </c>
      <c r="Y47" s="10">
        <v>45.84</v>
      </c>
      <c r="Z47" s="10">
        <v>45.3</v>
      </c>
      <c r="AA47" s="10">
        <v>45.37</v>
      </c>
      <c r="AB47" s="94">
        <v>1608900</v>
      </c>
      <c r="AC47" s="10">
        <v>45.19</v>
      </c>
      <c r="AD47" s="2">
        <f t="shared" si="0"/>
        <v>0.54000000000000625</v>
      </c>
      <c r="AE47" s="137">
        <f t="shared" si="1"/>
        <v>-2.6484219819025157E-3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5"/>
        <v>51.103500000000004</v>
      </c>
      <c r="Q48" s="82"/>
      <c r="R48" s="34"/>
      <c r="T48" s="92" t="s">
        <v>103</v>
      </c>
      <c r="U48" s="87">
        <v>1.14788</v>
      </c>
      <c r="W48" s="132">
        <v>42731</v>
      </c>
      <c r="X48" s="10">
        <v>45.55</v>
      </c>
      <c r="Y48" s="10">
        <v>45.62</v>
      </c>
      <c r="Z48" s="10">
        <v>45.26</v>
      </c>
      <c r="AA48" s="10">
        <v>45.49</v>
      </c>
      <c r="AB48" s="94">
        <v>1522400</v>
      </c>
      <c r="AC48" s="10">
        <v>45.31</v>
      </c>
      <c r="AD48" s="2">
        <f t="shared" si="0"/>
        <v>0.35999999999999943</v>
      </c>
      <c r="AE48" s="137">
        <f t="shared" si="1"/>
        <v>2.2119000221190177E-3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5"/>
        <v>50.616800000000005</v>
      </c>
      <c r="Q49" s="82"/>
      <c r="R49" s="34"/>
      <c r="T49" s="92" t="s">
        <v>122</v>
      </c>
      <c r="U49" s="87" t="s">
        <v>482</v>
      </c>
      <c r="W49" s="132">
        <v>42727</v>
      </c>
      <c r="X49" s="10">
        <v>45.56</v>
      </c>
      <c r="Y49" s="10">
        <v>45.66</v>
      </c>
      <c r="Z49" s="10">
        <v>45.2</v>
      </c>
      <c r="AA49" s="10">
        <v>45.39</v>
      </c>
      <c r="AB49" s="94">
        <v>1814000</v>
      </c>
      <c r="AC49" s="10">
        <v>45.21</v>
      </c>
      <c r="AD49" s="2">
        <f t="shared" si="0"/>
        <v>0.45999999999999375</v>
      </c>
      <c r="AE49" s="137">
        <f t="shared" si="1"/>
        <v>-3.3068783068782581E-3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2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50.130100000000006</v>
      </c>
      <c r="Q50" s="82"/>
      <c r="R50" s="34"/>
      <c r="T50" s="92"/>
      <c r="U50" s="87"/>
      <c r="W50" s="132">
        <v>42726</v>
      </c>
      <c r="X50" s="10">
        <v>46.15</v>
      </c>
      <c r="Y50" s="10">
        <v>46.36</v>
      </c>
      <c r="Z50" s="10">
        <v>45.51</v>
      </c>
      <c r="AA50" s="10">
        <v>45.54</v>
      </c>
      <c r="AB50" s="94">
        <v>2591900</v>
      </c>
      <c r="AC50" s="10">
        <v>45.36</v>
      </c>
      <c r="AD50" s="2">
        <f t="shared" si="0"/>
        <v>0.85000000000000142</v>
      </c>
      <c r="AE50" s="137">
        <f t="shared" si="1"/>
        <v>-1.3484123531970371E-2</v>
      </c>
    </row>
    <row r="51" spans="1:31" x14ac:dyDescent="0.25">
      <c r="G51" s="2"/>
      <c r="O51" s="82">
        <v>1.02</v>
      </c>
      <c r="P51" s="82">
        <f t="shared" si="5"/>
        <v>49.6434</v>
      </c>
      <c r="Q51" s="82"/>
      <c r="R51" s="34"/>
      <c r="T51" s="92" t="s">
        <v>105</v>
      </c>
      <c r="U51" s="87" t="s">
        <v>692</v>
      </c>
      <c r="W51" s="132">
        <v>42725</v>
      </c>
      <c r="X51" s="10">
        <v>45.89</v>
      </c>
      <c r="Y51" s="10">
        <v>46.47</v>
      </c>
      <c r="Z51" s="10">
        <v>45.81</v>
      </c>
      <c r="AA51" s="10">
        <v>46.17</v>
      </c>
      <c r="AB51" s="94">
        <v>3425900</v>
      </c>
      <c r="AC51" s="10">
        <v>45.98</v>
      </c>
      <c r="AD51" s="2">
        <f t="shared" si="0"/>
        <v>0.65999999999999659</v>
      </c>
      <c r="AE51" s="137">
        <f t="shared" si="1"/>
        <v>1.2106537530266248E-2</v>
      </c>
    </row>
    <row r="52" spans="1:31" x14ac:dyDescent="0.25">
      <c r="O52" s="82">
        <v>1.01</v>
      </c>
      <c r="P52" s="82">
        <f t="shared" si="5"/>
        <v>49.156700000000001</v>
      </c>
      <c r="Q52" s="82"/>
      <c r="R52" s="34"/>
      <c r="T52" s="92" t="s">
        <v>106</v>
      </c>
      <c r="U52" s="87" t="s">
        <v>571</v>
      </c>
      <c r="W52" s="132">
        <v>42724</v>
      </c>
      <c r="X52" s="10">
        <v>45.78</v>
      </c>
      <c r="Y52" s="10">
        <v>46.08</v>
      </c>
      <c r="Z52" s="10">
        <v>45.47</v>
      </c>
      <c r="AA52" s="10">
        <v>45.61</v>
      </c>
      <c r="AB52" s="94">
        <v>4515500</v>
      </c>
      <c r="AC52" s="10">
        <v>45.43</v>
      </c>
      <c r="AD52" s="2">
        <f t="shared" si="0"/>
        <v>0.60999999999999943</v>
      </c>
      <c r="AE52" s="137">
        <f t="shared" si="1"/>
        <v>-1.9771528998243637E-3</v>
      </c>
    </row>
    <row r="53" spans="1:31" x14ac:dyDescent="0.25">
      <c r="O53" s="82">
        <v>1</v>
      </c>
      <c r="P53" s="82">
        <f t="shared" si="5"/>
        <v>48.67</v>
      </c>
      <c r="Q53" s="82"/>
      <c r="R53" s="34"/>
      <c r="T53" s="92" t="s">
        <v>107</v>
      </c>
      <c r="U53" s="89">
        <v>2620625</v>
      </c>
      <c r="W53" s="132">
        <v>42723</v>
      </c>
      <c r="X53" s="10">
        <v>46.16</v>
      </c>
      <c r="Y53" s="10">
        <v>46.39</v>
      </c>
      <c r="Z53" s="10">
        <v>45.49</v>
      </c>
      <c r="AA53" s="10">
        <v>45.7</v>
      </c>
      <c r="AB53" s="94">
        <v>3589200</v>
      </c>
      <c r="AC53" s="10">
        <v>45.52</v>
      </c>
      <c r="AD53" s="2">
        <f t="shared" si="0"/>
        <v>0.89999999999999858</v>
      </c>
      <c r="AE53" s="137">
        <f t="shared" si="1"/>
        <v>-1.0219612959338931E-2</v>
      </c>
    </row>
    <row r="54" spans="1:31" x14ac:dyDescent="0.25">
      <c r="O54" s="82">
        <v>0.99</v>
      </c>
      <c r="P54" s="82">
        <f t="shared" si="5"/>
        <v>48.183300000000003</v>
      </c>
      <c r="Q54" s="82"/>
      <c r="R54" s="34"/>
      <c r="T54" s="92" t="s">
        <v>110</v>
      </c>
      <c r="U54" s="89">
        <v>4358510</v>
      </c>
      <c r="W54" s="132">
        <v>42720</v>
      </c>
      <c r="X54" s="10">
        <v>46.68</v>
      </c>
      <c r="Y54" s="10">
        <v>46.98</v>
      </c>
      <c r="Z54" s="10">
        <v>45.94</v>
      </c>
      <c r="AA54" s="10">
        <v>46.18</v>
      </c>
      <c r="AB54" s="94">
        <v>6821100</v>
      </c>
      <c r="AC54" s="10">
        <v>45.99</v>
      </c>
      <c r="AD54" s="2">
        <f t="shared" si="0"/>
        <v>1.0399999999999991</v>
      </c>
      <c r="AE54" s="137">
        <f t="shared" si="1"/>
        <v>-1.0755001075500092E-2</v>
      </c>
    </row>
    <row r="55" spans="1:31" x14ac:dyDescent="0.25">
      <c r="O55" s="82">
        <v>0.98</v>
      </c>
      <c r="P55" s="82">
        <f t="shared" si="5"/>
        <v>47.696600000000004</v>
      </c>
      <c r="Q55" s="82"/>
      <c r="T55" s="92" t="s">
        <v>108</v>
      </c>
      <c r="U55" s="87" t="s">
        <v>572</v>
      </c>
      <c r="W55" s="132">
        <v>42719</v>
      </c>
      <c r="X55" s="10">
        <v>46.54</v>
      </c>
      <c r="Y55" s="10">
        <v>46.83</v>
      </c>
      <c r="Z55" s="10">
        <v>46.02</v>
      </c>
      <c r="AA55" s="10">
        <v>46.68</v>
      </c>
      <c r="AB55" s="94">
        <v>5863200</v>
      </c>
      <c r="AC55" s="10">
        <v>46.49</v>
      </c>
      <c r="AD55" s="2">
        <f t="shared" si="0"/>
        <v>0.80999999999999517</v>
      </c>
      <c r="AE55" s="137">
        <f t="shared" si="1"/>
        <v>8.6114101184064928E-4</v>
      </c>
    </row>
    <row r="56" spans="1:31" x14ac:dyDescent="0.25">
      <c r="O56" s="82">
        <v>0.97</v>
      </c>
      <c r="P56" s="82">
        <f t="shared" si="5"/>
        <v>47.209899999999998</v>
      </c>
      <c r="Q56" s="82"/>
      <c r="T56" s="92" t="s">
        <v>111</v>
      </c>
      <c r="U56" s="87">
        <v>39.54</v>
      </c>
      <c r="W56" s="132">
        <v>42718</v>
      </c>
      <c r="X56" s="10">
        <v>47.36</v>
      </c>
      <c r="Y56" s="10">
        <v>47.62</v>
      </c>
      <c r="Z56" s="10">
        <v>46.56</v>
      </c>
      <c r="AA56" s="10">
        <v>46.64</v>
      </c>
      <c r="AB56" s="94">
        <v>5998600</v>
      </c>
      <c r="AC56" s="10">
        <v>46.45</v>
      </c>
      <c r="AD56" s="2">
        <f t="shared" si="0"/>
        <v>1.0599999999999952</v>
      </c>
      <c r="AE56" s="137">
        <f t="shared" si="1"/>
        <v>-1.4009764381235357E-2</v>
      </c>
    </row>
    <row r="57" spans="1:31" x14ac:dyDescent="0.25">
      <c r="O57" s="82">
        <v>0.96</v>
      </c>
      <c r="P57" s="82">
        <f t="shared" si="5"/>
        <v>46.723199999999999</v>
      </c>
      <c r="Q57" s="82"/>
      <c r="T57" s="92" t="s">
        <v>112</v>
      </c>
      <c r="U57" s="87">
        <v>1.25</v>
      </c>
      <c r="W57" s="132">
        <v>42717</v>
      </c>
      <c r="X57" s="10">
        <v>47.65</v>
      </c>
      <c r="Y57" s="10">
        <v>48.02</v>
      </c>
      <c r="Z57" s="10">
        <v>47.05</v>
      </c>
      <c r="AA57" s="10">
        <v>47.3</v>
      </c>
      <c r="AB57" s="94">
        <v>6197500</v>
      </c>
      <c r="AC57" s="10">
        <v>47.11</v>
      </c>
      <c r="AD57" s="2">
        <f t="shared" si="0"/>
        <v>0.97000000000000597</v>
      </c>
      <c r="AE57" s="137">
        <f t="shared" si="1"/>
        <v>1.7714409159645728E-2</v>
      </c>
    </row>
    <row r="58" spans="1:31" x14ac:dyDescent="0.25">
      <c r="O58" s="82">
        <v>0.95</v>
      </c>
      <c r="P58" s="82">
        <f t="shared" si="5"/>
        <v>46.236499999999999</v>
      </c>
      <c r="Q58" s="82"/>
      <c r="T58" s="92" t="s">
        <v>109</v>
      </c>
      <c r="U58" s="87" t="s">
        <v>573</v>
      </c>
      <c r="W58" s="132">
        <v>42716</v>
      </c>
      <c r="X58" s="10">
        <v>45.75</v>
      </c>
      <c r="Y58" s="10">
        <v>46.49</v>
      </c>
      <c r="Z58" s="10">
        <v>45.29</v>
      </c>
      <c r="AA58" s="10">
        <v>46.48</v>
      </c>
      <c r="AB58" s="94">
        <v>3654100</v>
      </c>
      <c r="AC58" s="10">
        <v>46.29</v>
      </c>
      <c r="AD58" s="2">
        <f t="shared" si="0"/>
        <v>1.2000000000000028</v>
      </c>
      <c r="AE58" s="137">
        <f t="shared" si="1"/>
        <v>2.0727673649393541E-2</v>
      </c>
    </row>
    <row r="59" spans="1:31" x14ac:dyDescent="0.25">
      <c r="O59" s="82">
        <v>0.94</v>
      </c>
      <c r="P59" s="82">
        <f t="shared" si="5"/>
        <v>45.7498</v>
      </c>
      <c r="Q59" s="82"/>
      <c r="W59" s="132">
        <v>42713</v>
      </c>
      <c r="X59" s="10">
        <v>45.16</v>
      </c>
      <c r="Y59" s="10">
        <v>45.83</v>
      </c>
      <c r="Z59" s="10">
        <v>45.08</v>
      </c>
      <c r="AA59" s="10">
        <v>45.53</v>
      </c>
      <c r="AB59" s="94">
        <v>5157600</v>
      </c>
      <c r="AC59" s="10">
        <v>45.35</v>
      </c>
      <c r="AD59" s="2">
        <f t="shared" si="0"/>
        <v>0.75</v>
      </c>
      <c r="AE59" s="137">
        <f t="shared" si="1"/>
        <v>7.5538769162408759E-3</v>
      </c>
    </row>
    <row r="60" spans="1:31" x14ac:dyDescent="0.25">
      <c r="O60" s="82">
        <v>0.93</v>
      </c>
      <c r="P60" s="82">
        <f t="shared" si="5"/>
        <v>45.263100000000001</v>
      </c>
      <c r="Q60" s="82"/>
      <c r="W60" s="132">
        <v>42712</v>
      </c>
      <c r="X60" s="10">
        <v>45.62</v>
      </c>
      <c r="Y60" s="10">
        <v>45.65</v>
      </c>
      <c r="Z60" s="10">
        <v>44.71</v>
      </c>
      <c r="AA60" s="10">
        <v>45.19</v>
      </c>
      <c r="AB60" s="94">
        <v>6359800</v>
      </c>
      <c r="AC60" s="10">
        <v>45.01</v>
      </c>
      <c r="AD60" s="2">
        <f t="shared" si="0"/>
        <v>0.93999999999999773</v>
      </c>
      <c r="AE60" s="137">
        <f t="shared" si="1"/>
        <v>-1.0116560369474392E-2</v>
      </c>
    </row>
    <row r="61" spans="1:31" x14ac:dyDescent="0.25">
      <c r="O61" s="82">
        <v>0.92</v>
      </c>
      <c r="P61" s="82">
        <f t="shared" si="5"/>
        <v>44.776400000000002</v>
      </c>
      <c r="Q61" s="82"/>
      <c r="W61" s="132">
        <v>42711</v>
      </c>
      <c r="X61" s="10">
        <v>45.51</v>
      </c>
      <c r="Y61" s="10">
        <v>45.92</v>
      </c>
      <c r="Z61" s="10">
        <v>44.24</v>
      </c>
      <c r="AA61" s="10">
        <v>45.65</v>
      </c>
      <c r="AB61" s="94">
        <v>5195000</v>
      </c>
      <c r="AC61" s="10">
        <v>45.47</v>
      </c>
      <c r="AD61" s="2">
        <f t="shared" si="0"/>
        <v>1.6799999999999997</v>
      </c>
      <c r="AE61" s="137">
        <f t="shared" si="1"/>
        <v>-6.5934065934070141E-4</v>
      </c>
    </row>
    <row r="62" spans="1:31" x14ac:dyDescent="0.25">
      <c r="O62" s="82">
        <v>0.91</v>
      </c>
      <c r="P62" s="82">
        <f t="shared" si="5"/>
        <v>44.289700000000003</v>
      </c>
      <c r="Q62" s="82"/>
      <c r="W62" s="132">
        <v>42710</v>
      </c>
      <c r="X62" s="10">
        <v>45.65</v>
      </c>
      <c r="Y62" s="10">
        <v>45.96</v>
      </c>
      <c r="Z62" s="10">
        <v>45.56</v>
      </c>
      <c r="AA62" s="10">
        <v>45.68</v>
      </c>
      <c r="AB62" s="94">
        <v>2865900</v>
      </c>
      <c r="AC62" s="10">
        <v>45.5</v>
      </c>
      <c r="AD62" s="2">
        <f t="shared" si="0"/>
        <v>0.39999999999999858</v>
      </c>
      <c r="AE62" s="137">
        <f t="shared" si="1"/>
        <v>-4.3936731107208082E-4</v>
      </c>
    </row>
    <row r="63" spans="1:31" x14ac:dyDescent="0.25">
      <c r="O63" s="82">
        <v>0.9</v>
      </c>
      <c r="P63" s="82">
        <f t="shared" si="5"/>
        <v>43.803000000000004</v>
      </c>
      <c r="Q63" s="82"/>
      <c r="W63" s="132">
        <v>42709</v>
      </c>
      <c r="X63" s="10">
        <v>45.95</v>
      </c>
      <c r="Y63" s="10">
        <v>46.15</v>
      </c>
      <c r="Z63" s="10">
        <v>45.57</v>
      </c>
      <c r="AA63" s="10">
        <v>45.7</v>
      </c>
      <c r="AB63" s="94">
        <v>3112900</v>
      </c>
      <c r="AC63" s="10">
        <v>45.52</v>
      </c>
      <c r="AD63" s="2">
        <f t="shared" si="0"/>
        <v>0.57999999999999829</v>
      </c>
      <c r="AE63" s="137">
        <f t="shared" si="1"/>
        <v>4.3956043956061563E-4</v>
      </c>
    </row>
    <row r="64" spans="1:31" x14ac:dyDescent="0.25">
      <c r="O64" s="34"/>
      <c r="W64" s="132">
        <v>42706</v>
      </c>
      <c r="X64" s="10">
        <v>45.44</v>
      </c>
      <c r="Y64" s="10">
        <v>46.08</v>
      </c>
      <c r="Z64" s="10">
        <v>45.37</v>
      </c>
      <c r="AA64" s="10">
        <v>45.68</v>
      </c>
      <c r="AB64" s="94">
        <v>3020700</v>
      </c>
      <c r="AC64" s="10">
        <v>45.5</v>
      </c>
      <c r="AD64" s="2">
        <f t="shared" si="0"/>
        <v>0.71000000000000085</v>
      </c>
      <c r="AE64" s="137">
        <f t="shared" si="1"/>
        <v>5.3026955368979944E-3</v>
      </c>
    </row>
    <row r="65" spans="15:31" x14ac:dyDescent="0.25">
      <c r="W65" s="132">
        <v>42705</v>
      </c>
      <c r="X65" s="10">
        <v>46.87</v>
      </c>
      <c r="Y65" s="10">
        <v>46.99</v>
      </c>
      <c r="Z65" s="10">
        <v>45.26</v>
      </c>
      <c r="AA65" s="10">
        <v>45.44</v>
      </c>
      <c r="AB65" s="94">
        <v>6495900</v>
      </c>
      <c r="AC65" s="10">
        <v>45.26</v>
      </c>
      <c r="AD65" s="2">
        <f t="shared" si="0"/>
        <v>1.730000000000004</v>
      </c>
      <c r="AE65" s="137">
        <f t="shared" si="1"/>
        <v>-3.3319094404100857E-2</v>
      </c>
    </row>
    <row r="66" spans="15:31" x14ac:dyDescent="0.25">
      <c r="W66" s="132">
        <v>42704</v>
      </c>
      <c r="X66" s="10">
        <v>47.54</v>
      </c>
      <c r="Y66" s="10">
        <v>48.02</v>
      </c>
      <c r="Z66" s="10">
        <v>46.47</v>
      </c>
      <c r="AA66" s="10">
        <v>47.01</v>
      </c>
      <c r="AB66" s="94">
        <v>9197300</v>
      </c>
      <c r="AC66" s="10">
        <v>46.82</v>
      </c>
      <c r="AD66" s="2">
        <f t="shared" si="0"/>
        <v>1.5500000000000043</v>
      </c>
      <c r="AE66" s="137">
        <f t="shared" si="1"/>
        <v>-9.7292724196277325E-3</v>
      </c>
    </row>
    <row r="67" spans="15:31" x14ac:dyDescent="0.25">
      <c r="W67" s="132">
        <v>42703</v>
      </c>
      <c r="X67" s="10">
        <v>47.63</v>
      </c>
      <c r="Y67" s="10">
        <v>48.05</v>
      </c>
      <c r="Z67" s="10">
        <v>47.31</v>
      </c>
      <c r="AA67" s="10">
        <v>47.47</v>
      </c>
      <c r="AB67" s="94">
        <v>2627800</v>
      </c>
      <c r="AC67" s="10">
        <v>47.28</v>
      </c>
      <c r="AD67" s="2">
        <f>Y67-Z67</f>
        <v>0.73999999999999488</v>
      </c>
      <c r="AE67" s="137">
        <f>AC67/AC68-1</f>
        <v>-2.5316455696201556E-3</v>
      </c>
    </row>
    <row r="68" spans="15:31" x14ac:dyDescent="0.25">
      <c r="W68" s="132">
        <v>42702</v>
      </c>
      <c r="X68" s="10">
        <v>48.08</v>
      </c>
      <c r="Y68" s="10">
        <v>48.45</v>
      </c>
      <c r="Z68" s="10">
        <v>47.54</v>
      </c>
      <c r="AA68" s="10">
        <v>47.59</v>
      </c>
      <c r="AB68" s="94">
        <v>3545300</v>
      </c>
      <c r="AC68" s="10">
        <v>47.4</v>
      </c>
      <c r="AD68" s="2">
        <f>Y68-Z68</f>
        <v>0.91000000000000369</v>
      </c>
      <c r="AE68" s="137" t="e">
        <f>AC68/AC70-1</f>
        <v>#DIV/0!</v>
      </c>
    </row>
    <row r="69" spans="15:31" x14ac:dyDescent="0.25">
      <c r="O69" s="34"/>
      <c r="W69" s="283">
        <v>42702</v>
      </c>
      <c r="X69" t="s">
        <v>180</v>
      </c>
      <c r="AB69" s="234"/>
    </row>
    <row r="70" spans="15:31" x14ac:dyDescent="0.25">
      <c r="W70" s="132" t="s">
        <v>121</v>
      </c>
      <c r="X70" s="10"/>
      <c r="Y70" s="10"/>
      <c r="Z70" s="10"/>
      <c r="AA70" s="10"/>
      <c r="AB70" s="94"/>
      <c r="AC70" s="10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19" priority="33">
      <formula>F25&gt;0</formula>
    </cfRule>
    <cfRule type="expression" dxfId="318" priority="34">
      <formula>F25&lt;0</formula>
    </cfRule>
  </conditionalFormatting>
  <conditionalFormatting sqref="H25:H27">
    <cfRule type="expression" dxfId="317" priority="31">
      <formula>H25&gt;0</formula>
    </cfRule>
    <cfRule type="expression" dxfId="316" priority="32">
      <formula>H25&lt;0</formula>
    </cfRule>
  </conditionalFormatting>
  <conditionalFormatting sqref="H28">
    <cfRule type="expression" dxfId="315" priority="29">
      <formula>H28&gt;0</formula>
    </cfRule>
    <cfRule type="expression" dxfId="314" priority="30">
      <formula>H28&lt;0</formula>
    </cfRule>
  </conditionalFormatting>
  <conditionalFormatting sqref="H29">
    <cfRule type="expression" dxfId="313" priority="27">
      <formula>H29&gt;0</formula>
    </cfRule>
    <cfRule type="expression" dxfId="312" priority="28">
      <formula>H29&lt;0</formula>
    </cfRule>
  </conditionalFormatting>
  <conditionalFormatting sqref="H30:H34">
    <cfRule type="expression" dxfId="311" priority="25">
      <formula>H30&gt;0</formula>
    </cfRule>
    <cfRule type="expression" dxfId="310" priority="26">
      <formula>H30&lt;0</formula>
    </cfRule>
  </conditionalFormatting>
  <conditionalFormatting sqref="F21:F24">
    <cfRule type="expression" dxfId="309" priority="23">
      <formula>F21&gt;0</formula>
    </cfRule>
    <cfRule type="expression" dxfId="308" priority="24">
      <formula>F21&lt;0</formula>
    </cfRule>
  </conditionalFormatting>
  <conditionalFormatting sqref="H21:H24">
    <cfRule type="expression" dxfId="307" priority="21">
      <formula>H21&gt;0</formula>
    </cfRule>
    <cfRule type="expression" dxfId="306" priority="22">
      <formula>H21&lt;0</formula>
    </cfRule>
  </conditionalFormatting>
  <conditionalFormatting sqref="F30:F31">
    <cfRule type="expression" dxfId="305" priority="17">
      <formula>F30&gt;0</formula>
    </cfRule>
    <cfRule type="expression" dxfId="304" priority="18">
      <formula>F30&lt;0</formula>
    </cfRule>
  </conditionalFormatting>
  <conditionalFormatting sqref="I25:I27">
    <cfRule type="expression" dxfId="303" priority="15">
      <formula>I25&gt;0</formula>
    </cfRule>
    <cfRule type="expression" dxfId="302" priority="16">
      <formula>I25&lt;0</formula>
    </cfRule>
  </conditionalFormatting>
  <conditionalFormatting sqref="I28">
    <cfRule type="expression" dxfId="301" priority="13">
      <formula>I28&gt;0</formula>
    </cfRule>
    <cfRule type="expression" dxfId="300" priority="14">
      <formula>I28&lt;0</formula>
    </cfRule>
  </conditionalFormatting>
  <conditionalFormatting sqref="I29">
    <cfRule type="expression" dxfId="299" priority="11">
      <formula>I29&gt;0</formula>
    </cfRule>
    <cfRule type="expression" dxfId="298" priority="12">
      <formula>I29&lt;0</formula>
    </cfRule>
  </conditionalFormatting>
  <conditionalFormatting sqref="I30:I34">
    <cfRule type="expression" dxfId="297" priority="9">
      <formula>I30&gt;0</formula>
    </cfRule>
    <cfRule type="expression" dxfId="296" priority="10">
      <formula>I30&lt;0</formula>
    </cfRule>
  </conditionalFormatting>
  <conditionalFormatting sqref="I21:I24">
    <cfRule type="expression" dxfId="295" priority="7">
      <formula>I21&gt;0</formula>
    </cfRule>
    <cfRule type="expression" dxfId="294" priority="8">
      <formula>I21&lt;0</formula>
    </cfRule>
  </conditionalFormatting>
  <conditionalFormatting sqref="F32">
    <cfRule type="expression" dxfId="293" priority="5">
      <formula>F32&gt;0</formula>
    </cfRule>
    <cfRule type="expression" dxfId="292" priority="6">
      <formula>F32&lt;0</formula>
    </cfRule>
  </conditionalFormatting>
  <conditionalFormatting sqref="Q8">
    <cfRule type="expression" dxfId="291" priority="1">
      <formula>Q8&gt;0</formula>
    </cfRule>
    <cfRule type="expression" dxfId="290" priority="2">
      <formula>Q8&lt;0</formula>
    </cfRule>
  </conditionalFormatting>
  <conditionalFormatting sqref="Q7">
    <cfRule type="expression" dxfId="289" priority="3">
      <formula>Q7&gt;0</formula>
    </cfRule>
    <cfRule type="expression" dxfId="28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42797</v>
      </c>
      <c r="X2" s="10">
        <v>37.25</v>
      </c>
      <c r="Y2" s="10">
        <v>37.44</v>
      </c>
      <c r="Z2" s="10">
        <v>36.17</v>
      </c>
      <c r="AA2" s="10">
        <v>36.409999999999997</v>
      </c>
      <c r="AB2" s="94">
        <v>1729700</v>
      </c>
      <c r="AC2" s="10">
        <v>36.409999999999997</v>
      </c>
      <c r="AD2" s="2">
        <f>Y2-Z2</f>
        <v>1.269999999999996</v>
      </c>
      <c r="AE2" s="137">
        <f>AC2/AC3-1</f>
        <v>-1.674318120442897E-2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36.85</v>
      </c>
      <c r="T3" s="1">
        <v>42312</v>
      </c>
      <c r="U3" t="s">
        <v>149</v>
      </c>
      <c r="W3" s="132">
        <v>42796</v>
      </c>
      <c r="X3" s="10">
        <v>36.93</v>
      </c>
      <c r="Y3" s="10">
        <v>37.119999999999997</v>
      </c>
      <c r="Z3" s="10">
        <v>36.71</v>
      </c>
      <c r="AA3" s="10">
        <v>37.03</v>
      </c>
      <c r="AB3" s="94">
        <v>3020300</v>
      </c>
      <c r="AC3" s="10">
        <v>37.03</v>
      </c>
      <c r="AD3" s="2">
        <f t="shared" ref="AD3:AD66" si="0">Y3-Z3</f>
        <v>0.40999999999999659</v>
      </c>
      <c r="AE3" s="137">
        <f t="shared" ref="AE3:AE66" si="1">AC3/AC4-1</f>
        <v>3.523035230352356E-3</v>
      </c>
      <c r="AI3" t="s">
        <v>163</v>
      </c>
      <c r="AJ3">
        <v>50</v>
      </c>
      <c r="AK3">
        <v>41.2</v>
      </c>
      <c r="AL3" s="233">
        <v>2060</v>
      </c>
      <c r="AO3" s="233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36.85</v>
      </c>
      <c r="R4" s="499">
        <v>1.0699999999999999E-2</v>
      </c>
      <c r="W4" s="132">
        <v>42795</v>
      </c>
      <c r="X4" s="10">
        <v>36.869999999999997</v>
      </c>
      <c r="Y4" s="10">
        <v>37.06</v>
      </c>
      <c r="Z4" s="10">
        <v>36.44</v>
      </c>
      <c r="AA4" s="10">
        <v>36.9</v>
      </c>
      <c r="AB4" s="94">
        <v>6996800</v>
      </c>
      <c r="AC4" s="10">
        <v>36.9</v>
      </c>
      <c r="AD4" s="2">
        <f t="shared" si="0"/>
        <v>0.62000000000000455</v>
      </c>
      <c r="AE4" s="137">
        <f t="shared" si="1"/>
        <v>1.0958904109588996E-2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37.5</v>
      </c>
      <c r="Y5" s="10">
        <v>37.57</v>
      </c>
      <c r="Z5" s="10">
        <v>36.369999999999997</v>
      </c>
      <c r="AA5" s="10">
        <v>36.5</v>
      </c>
      <c r="AB5" s="94">
        <v>3556400</v>
      </c>
      <c r="AC5" s="10">
        <v>36.5</v>
      </c>
      <c r="AD5" s="2">
        <f t="shared" si="0"/>
        <v>1.2000000000000028</v>
      </c>
      <c r="AE5" s="137">
        <f t="shared" si="1"/>
        <v>-2.9255319148936199E-2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37.450000000000003</v>
      </c>
      <c r="Y6" s="10">
        <v>37.99</v>
      </c>
      <c r="Z6" s="10">
        <v>37.35</v>
      </c>
      <c r="AA6" s="10">
        <v>37.6</v>
      </c>
      <c r="AB6" s="94">
        <v>4209300</v>
      </c>
      <c r="AC6" s="10">
        <v>37.6</v>
      </c>
      <c r="AD6" s="2">
        <f t="shared" si="0"/>
        <v>0.64000000000000057</v>
      </c>
      <c r="AE6" s="137">
        <f t="shared" si="1"/>
        <v>8.0428954423592547E-3</v>
      </c>
    </row>
    <row r="7" spans="1:43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937.36999999999534</v>
      </c>
      <c r="R7">
        <v>0</v>
      </c>
      <c r="W7" s="132">
        <v>42790</v>
      </c>
      <c r="X7" s="10">
        <v>37.369999999999997</v>
      </c>
      <c r="Y7" s="10">
        <v>37.78</v>
      </c>
      <c r="Z7" s="10">
        <v>37.020000000000003</v>
      </c>
      <c r="AA7" s="10">
        <v>37.299999999999997</v>
      </c>
      <c r="AB7" s="94">
        <v>2631700</v>
      </c>
      <c r="AC7" s="10">
        <v>37.299999999999997</v>
      </c>
      <c r="AD7" s="2">
        <f t="shared" si="0"/>
        <v>0.75999999999999801</v>
      </c>
      <c r="AE7" s="137">
        <f t="shared" si="1"/>
        <v>5.3648068669520654E-4</v>
      </c>
    </row>
    <row r="8" spans="1:43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38.159999999999997</v>
      </c>
      <c r="Y8" s="10">
        <v>38.44</v>
      </c>
      <c r="Z8" s="10">
        <v>37.21</v>
      </c>
      <c r="AA8" s="10">
        <v>37.28</v>
      </c>
      <c r="AB8" s="94">
        <v>3655400</v>
      </c>
      <c r="AC8" s="10">
        <v>37.28</v>
      </c>
      <c r="AD8" s="2">
        <f t="shared" si="0"/>
        <v>1.2299999999999969</v>
      </c>
      <c r="AE8" s="137">
        <f t="shared" si="1"/>
        <v>-1.6877637130801704E-2</v>
      </c>
    </row>
    <row r="9" spans="1:43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38.29</v>
      </c>
      <c r="Y9" s="10">
        <v>38.42</v>
      </c>
      <c r="Z9" s="10">
        <v>37.71</v>
      </c>
      <c r="AA9" s="10">
        <v>37.92</v>
      </c>
      <c r="AB9" s="94">
        <v>1929300</v>
      </c>
      <c r="AC9" s="10">
        <v>37.92</v>
      </c>
      <c r="AD9" s="2">
        <f t="shared" si="0"/>
        <v>0.71000000000000085</v>
      </c>
      <c r="AE9" s="137">
        <f t="shared" si="1"/>
        <v>-1.018010963194993E-2</v>
      </c>
    </row>
    <row r="10" spans="1:43" x14ac:dyDescent="0.25">
      <c r="B10" s="73"/>
      <c r="C10" s="4"/>
      <c r="D10" s="3"/>
      <c r="E10" s="3"/>
      <c r="F10" s="3"/>
      <c r="G10" s="73"/>
      <c r="H10" s="184"/>
      <c r="I10" s="3"/>
      <c r="J10" s="3"/>
      <c r="K10" s="3"/>
      <c r="L10" s="4"/>
      <c r="M10" s="4"/>
      <c r="O10" s="11" t="s">
        <v>212</v>
      </c>
      <c r="P10" s="34"/>
      <c r="Q10" s="2">
        <f>M30</f>
        <v>937.36999999999534</v>
      </c>
      <c r="W10" s="132">
        <v>42787</v>
      </c>
      <c r="X10" s="10">
        <v>38.299999999999997</v>
      </c>
      <c r="Y10" s="10">
        <v>39.64</v>
      </c>
      <c r="Z10" s="10">
        <v>38.049999999999997</v>
      </c>
      <c r="AA10" s="10">
        <v>38.31</v>
      </c>
      <c r="AB10" s="94">
        <v>2676100</v>
      </c>
      <c r="AC10" s="10">
        <v>38.31</v>
      </c>
      <c r="AD10" s="2">
        <f t="shared" si="0"/>
        <v>1.5900000000000034</v>
      </c>
      <c r="AE10" s="137">
        <f t="shared" si="1"/>
        <v>2.6109660574435978E-4</v>
      </c>
    </row>
    <row r="11" spans="1:43" x14ac:dyDescent="0.25">
      <c r="B11" s="73"/>
      <c r="C11" s="4"/>
      <c r="D11" s="3"/>
      <c r="E11" s="3"/>
      <c r="F11" s="3"/>
      <c r="G11" s="73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37.950000000000003</v>
      </c>
      <c r="Y11" s="10">
        <v>38.44</v>
      </c>
      <c r="Z11" s="10">
        <v>37.81</v>
      </c>
      <c r="AA11" s="10">
        <v>38.299999999999997</v>
      </c>
      <c r="AB11" s="94">
        <v>2464400</v>
      </c>
      <c r="AC11" s="10">
        <v>38.299999999999997</v>
      </c>
      <c r="AD11" s="2">
        <f t="shared" si="0"/>
        <v>0.62999999999999545</v>
      </c>
      <c r="AE11" s="137">
        <f t="shared" si="1"/>
        <v>2.3554043444122819E-3</v>
      </c>
    </row>
    <row r="12" spans="1:43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42782</v>
      </c>
      <c r="X12" s="10">
        <v>38.6</v>
      </c>
      <c r="Y12" s="10">
        <v>39.22</v>
      </c>
      <c r="Z12" s="10">
        <v>37.799999999999997</v>
      </c>
      <c r="AA12" s="10">
        <v>38.21</v>
      </c>
      <c r="AB12" s="94">
        <v>2931600</v>
      </c>
      <c r="AC12" s="10">
        <v>38.21</v>
      </c>
      <c r="AD12" s="2">
        <f t="shared" si="0"/>
        <v>1.4200000000000017</v>
      </c>
      <c r="AE12" s="137">
        <f t="shared" si="1"/>
        <v>4.2049934296979341E-3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42781</v>
      </c>
      <c r="X13" s="10">
        <v>37.83</v>
      </c>
      <c r="Y13" s="10">
        <v>38.32</v>
      </c>
      <c r="Z13" s="10">
        <v>37.83</v>
      </c>
      <c r="AA13" s="10">
        <v>38.049999999999997</v>
      </c>
      <c r="AB13" s="94">
        <v>2608100</v>
      </c>
      <c r="AC13" s="10">
        <v>38.049999999999997</v>
      </c>
      <c r="AD13" s="2">
        <f t="shared" si="0"/>
        <v>0.49000000000000199</v>
      </c>
      <c r="AE13" s="137">
        <f t="shared" si="1"/>
        <v>-1.312335958005395E-3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42780</v>
      </c>
      <c r="X14" s="10">
        <v>37.64</v>
      </c>
      <c r="Y14" s="10">
        <v>38.299999999999997</v>
      </c>
      <c r="Z14" s="10">
        <v>37.630000000000003</v>
      </c>
      <c r="AA14" s="10">
        <v>38.1</v>
      </c>
      <c r="AB14" s="94">
        <v>3072000</v>
      </c>
      <c r="AC14" s="10">
        <v>38.1</v>
      </c>
      <c r="AD14" s="2">
        <f t="shared" si="0"/>
        <v>0.6699999999999946</v>
      </c>
      <c r="AE14" s="137">
        <f t="shared" si="1"/>
        <v>1.3297872340425565E-2</v>
      </c>
    </row>
    <row r="15" spans="1:43" x14ac:dyDescent="0.25">
      <c r="W15" s="132">
        <v>42779</v>
      </c>
      <c r="X15" s="10">
        <v>38.29</v>
      </c>
      <c r="Y15" s="10">
        <v>38.450000000000003</v>
      </c>
      <c r="Z15" s="10">
        <v>37.57</v>
      </c>
      <c r="AA15" s="10">
        <v>37.6</v>
      </c>
      <c r="AB15" s="94">
        <v>3579800</v>
      </c>
      <c r="AC15" s="10">
        <v>37.6</v>
      </c>
      <c r="AD15" s="2">
        <f t="shared" si="0"/>
        <v>0.88000000000000256</v>
      </c>
      <c r="AE15" s="137">
        <f t="shared" si="1"/>
        <v>-2.0323084940072955E-2</v>
      </c>
    </row>
    <row r="16" spans="1:43" x14ac:dyDescent="0.25">
      <c r="W16" s="132">
        <v>42776</v>
      </c>
      <c r="X16" s="10">
        <v>38.479999999999997</v>
      </c>
      <c r="Y16" s="10">
        <v>38.909999999999997</v>
      </c>
      <c r="Z16" s="10">
        <v>37.96</v>
      </c>
      <c r="AA16" s="10">
        <v>38.380000000000003</v>
      </c>
      <c r="AB16" s="94">
        <v>3836100</v>
      </c>
      <c r="AC16" s="10">
        <v>38.380000000000003</v>
      </c>
      <c r="AD16" s="2">
        <f t="shared" si="0"/>
        <v>0.94999999999999574</v>
      </c>
      <c r="AE16" s="137">
        <f t="shared" si="1"/>
        <v>2.8743140841389625E-3</v>
      </c>
    </row>
    <row r="17" spans="1:31" x14ac:dyDescent="0.25">
      <c r="B17" s="1"/>
      <c r="C17" s="4"/>
      <c r="W17" s="132">
        <v>42775</v>
      </c>
      <c r="X17" s="10">
        <v>37.869999999999997</v>
      </c>
      <c r="Y17" s="10">
        <v>38.869999999999997</v>
      </c>
      <c r="Z17" s="10">
        <v>37.869999999999997</v>
      </c>
      <c r="AA17" s="10">
        <v>38.270000000000003</v>
      </c>
      <c r="AB17" s="94">
        <v>3724200</v>
      </c>
      <c r="AC17" s="10">
        <v>38.270000000000003</v>
      </c>
      <c r="AD17" s="2">
        <f t="shared" si="0"/>
        <v>1</v>
      </c>
      <c r="AE17" s="137">
        <f t="shared" si="1"/>
        <v>1.0562450488513564E-2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42774</v>
      </c>
      <c r="X18" s="10">
        <v>36.76</v>
      </c>
      <c r="Y18" s="10">
        <v>38.659999999999997</v>
      </c>
      <c r="Z18" s="10">
        <v>36.42</v>
      </c>
      <c r="AA18" s="10">
        <v>37.869999999999997</v>
      </c>
      <c r="AB18" s="94">
        <v>9795800</v>
      </c>
      <c r="AC18" s="10">
        <v>37.869999999999997</v>
      </c>
      <c r="AD18" s="2">
        <f t="shared" si="0"/>
        <v>2.2399999999999949</v>
      </c>
      <c r="AE18" s="137">
        <f t="shared" si="1"/>
        <v>2.8517110266159662E-2</v>
      </c>
    </row>
    <row r="19" spans="1:31" x14ac:dyDescent="0.25">
      <c r="W19" s="132">
        <v>42773</v>
      </c>
      <c r="X19" s="10">
        <v>36.090000000000003</v>
      </c>
      <c r="Y19" s="10">
        <v>36.82</v>
      </c>
      <c r="Z19" s="10">
        <v>34.92</v>
      </c>
      <c r="AA19" s="10">
        <v>36.82</v>
      </c>
      <c r="AB19" s="94">
        <v>21436400</v>
      </c>
      <c r="AC19" s="10">
        <v>36.82</v>
      </c>
      <c r="AD19" s="2">
        <f t="shared" si="0"/>
        <v>1.8999999999999986</v>
      </c>
      <c r="AE19" s="137">
        <f t="shared" si="1"/>
        <v>-0.1080426356589147</v>
      </c>
    </row>
    <row r="20" spans="1:31" x14ac:dyDescent="0.25">
      <c r="W20" s="132">
        <v>42772</v>
      </c>
      <c r="X20" s="10">
        <v>41.05</v>
      </c>
      <c r="Y20" s="10">
        <v>41.36</v>
      </c>
      <c r="Z20" s="10">
        <v>40.75</v>
      </c>
      <c r="AA20" s="10">
        <v>41.28</v>
      </c>
      <c r="AB20" s="94">
        <v>2858900</v>
      </c>
      <c r="AC20" s="10">
        <v>41.28</v>
      </c>
      <c r="AD20" s="2">
        <f t="shared" si="0"/>
        <v>0.60999999999999943</v>
      </c>
      <c r="AE20" s="137">
        <f t="shared" si="1"/>
        <v>6.3383715260847406E-3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4" t="s">
        <v>65</v>
      </c>
      <c r="G21" s="228" t="s">
        <v>152</v>
      </c>
      <c r="H21" s="194" t="s">
        <v>88</v>
      </c>
      <c r="W21" s="132">
        <v>42769</v>
      </c>
      <c r="X21" s="10">
        <v>40.85</v>
      </c>
      <c r="Y21" s="10">
        <v>41.55</v>
      </c>
      <c r="Z21" s="10">
        <v>40.43</v>
      </c>
      <c r="AA21" s="10">
        <v>41.02</v>
      </c>
      <c r="AB21" s="94">
        <v>1714600</v>
      </c>
      <c r="AC21" s="10">
        <v>41.02</v>
      </c>
      <c r="AD21" s="2">
        <f t="shared" si="0"/>
        <v>1.1199999999999974</v>
      </c>
      <c r="AE21" s="137">
        <f t="shared" si="1"/>
        <v>3.1792614331132008E-3</v>
      </c>
    </row>
    <row r="22" spans="1:31" x14ac:dyDescent="0.25">
      <c r="B22" s="192"/>
      <c r="C22" s="10"/>
      <c r="D22" s="40"/>
      <c r="E22" s="40"/>
      <c r="F22" s="40"/>
      <c r="G22" s="40"/>
      <c r="H22" s="230"/>
      <c r="W22" s="132">
        <v>42768</v>
      </c>
      <c r="X22" s="10">
        <v>41.12</v>
      </c>
      <c r="Y22" s="10">
        <v>41.56</v>
      </c>
      <c r="Z22" s="10">
        <v>40.880000000000003</v>
      </c>
      <c r="AA22" s="10">
        <v>40.89</v>
      </c>
      <c r="AB22" s="94">
        <v>2177400</v>
      </c>
      <c r="AC22" s="10">
        <v>40.89</v>
      </c>
      <c r="AD22" s="2">
        <f t="shared" si="0"/>
        <v>0.67999999999999972</v>
      </c>
      <c r="AE22" s="137">
        <f t="shared" si="1"/>
        <v>-1.0885341074020394E-2</v>
      </c>
    </row>
    <row r="23" spans="1:31" x14ac:dyDescent="0.25">
      <c r="B23" s="192"/>
      <c r="C23" s="10"/>
      <c r="D23" s="40"/>
      <c r="E23" s="40"/>
      <c r="F23" s="40"/>
      <c r="G23" s="10"/>
      <c r="H23" s="10"/>
      <c r="W23" s="132">
        <v>42767</v>
      </c>
      <c r="X23" s="10">
        <v>42.18</v>
      </c>
      <c r="Y23" s="10">
        <v>42.32</v>
      </c>
      <c r="Z23" s="10">
        <v>41.2</v>
      </c>
      <c r="AA23" s="10">
        <v>41.34</v>
      </c>
      <c r="AB23" s="94">
        <v>2425900</v>
      </c>
      <c r="AC23" s="10">
        <v>41.34</v>
      </c>
      <c r="AD23" s="2">
        <f t="shared" si="0"/>
        <v>1.1199999999999974</v>
      </c>
      <c r="AE23" s="137">
        <f t="shared" si="1"/>
        <v>-3.4337771548703544E-2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42766</v>
      </c>
      <c r="X24" s="10">
        <v>41.55</v>
      </c>
      <c r="Y24" s="10">
        <v>42.82</v>
      </c>
      <c r="Z24" s="10">
        <v>41.21</v>
      </c>
      <c r="AA24" s="10">
        <v>42.81</v>
      </c>
      <c r="AB24" s="94">
        <v>2580300</v>
      </c>
      <c r="AC24" s="10">
        <v>42.81</v>
      </c>
      <c r="AD24" s="2">
        <f t="shared" si="0"/>
        <v>1.6099999999999994</v>
      </c>
      <c r="AE24" s="137">
        <f t="shared" si="1"/>
        <v>2.4407753050969205E-2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42765</v>
      </c>
      <c r="X25" s="10">
        <v>41.58</v>
      </c>
      <c r="Y25" s="10">
        <v>41.88</v>
      </c>
      <c r="Z25" s="10">
        <v>41.19</v>
      </c>
      <c r="AA25" s="10">
        <v>41.79</v>
      </c>
      <c r="AB25" s="94">
        <v>1240200</v>
      </c>
      <c r="AC25" s="10">
        <v>41.79</v>
      </c>
      <c r="AD25" s="2">
        <f t="shared" si="0"/>
        <v>0.69000000000000483</v>
      </c>
      <c r="AE25" s="137">
        <f t="shared" si="1"/>
        <v>6.2605345533348622E-3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42762</v>
      </c>
      <c r="X26" s="10">
        <v>42.12</v>
      </c>
      <c r="Y26" s="10">
        <v>42.31</v>
      </c>
      <c r="Z26" s="10">
        <v>41.4</v>
      </c>
      <c r="AA26" s="10">
        <v>41.53</v>
      </c>
      <c r="AB26" s="94">
        <v>1220500</v>
      </c>
      <c r="AC26" s="10">
        <v>41.53</v>
      </c>
      <c r="AD26" s="2">
        <f t="shared" si="0"/>
        <v>0.91000000000000369</v>
      </c>
      <c r="AE26" s="137">
        <f t="shared" si="1"/>
        <v>-1.2601046124583903E-2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42761</v>
      </c>
      <c r="X27" s="10">
        <v>42.98</v>
      </c>
      <c r="Y27" s="10">
        <v>43.07</v>
      </c>
      <c r="Z27" s="10">
        <v>41.91</v>
      </c>
      <c r="AA27" s="10">
        <v>42.06</v>
      </c>
      <c r="AB27" s="94">
        <v>1899900</v>
      </c>
      <c r="AC27" s="10">
        <v>42.06</v>
      </c>
      <c r="AD27" s="2">
        <f t="shared" si="0"/>
        <v>1.1600000000000037</v>
      </c>
      <c r="AE27" s="137">
        <f t="shared" si="1"/>
        <v>-1.7289719626168099E-2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42760</v>
      </c>
      <c r="X28" s="10">
        <v>43.68</v>
      </c>
      <c r="Y28" s="10">
        <v>43.73</v>
      </c>
      <c r="Z28" s="10">
        <v>42.77</v>
      </c>
      <c r="AA28" s="10">
        <v>42.8</v>
      </c>
      <c r="AB28" s="94">
        <v>1670400</v>
      </c>
      <c r="AC28" s="10">
        <v>42.8</v>
      </c>
      <c r="AD28" s="2">
        <f t="shared" si="0"/>
        <v>0.95999999999999375</v>
      </c>
      <c r="AE28" s="137">
        <f t="shared" si="1"/>
        <v>-1.3824884792626779E-2</v>
      </c>
    </row>
    <row r="29" spans="1:31" x14ac:dyDescent="0.25">
      <c r="W29" s="132">
        <v>42759</v>
      </c>
      <c r="X29" s="10">
        <v>42.7</v>
      </c>
      <c r="Y29" s="10">
        <v>43.43</v>
      </c>
      <c r="Z29" s="10">
        <v>42.36</v>
      </c>
      <c r="AA29" s="10">
        <v>43.4</v>
      </c>
      <c r="AB29" s="94">
        <v>2404600</v>
      </c>
      <c r="AC29" s="10">
        <v>43.4</v>
      </c>
      <c r="AD29" s="2">
        <f t="shared" si="0"/>
        <v>1.0700000000000003</v>
      </c>
      <c r="AE29" s="137">
        <f t="shared" si="1"/>
        <v>1.9736842105263053E-2</v>
      </c>
    </row>
    <row r="30" spans="1:31" x14ac:dyDescent="0.25">
      <c r="L30" t="s">
        <v>212</v>
      </c>
      <c r="M30" s="2">
        <f>M52+K52-F52</f>
        <v>937.36999999999534</v>
      </c>
      <c r="W30" s="132">
        <v>42758</v>
      </c>
      <c r="X30" s="10">
        <v>42.21</v>
      </c>
      <c r="Y30" s="10">
        <v>42.96</v>
      </c>
      <c r="Z30" s="10">
        <v>42.01</v>
      </c>
      <c r="AA30" s="10">
        <v>42.56</v>
      </c>
      <c r="AB30" s="94">
        <v>1412700</v>
      </c>
      <c r="AC30" s="10">
        <v>42.56</v>
      </c>
      <c r="AD30" s="2">
        <f t="shared" si="0"/>
        <v>0.95000000000000284</v>
      </c>
      <c r="AE30" s="137">
        <f t="shared" si="1"/>
        <v>2.3551577955722713E-3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6" t="s">
        <v>5</v>
      </c>
      <c r="E31" s="386" t="s">
        <v>94</v>
      </c>
      <c r="F31" s="386" t="s">
        <v>60</v>
      </c>
      <c r="G31" s="384" t="s">
        <v>3</v>
      </c>
      <c r="H31" s="384" t="s">
        <v>6</v>
      </c>
      <c r="I31" s="386" t="s">
        <v>7</v>
      </c>
      <c r="J31" s="386" t="s">
        <v>95</v>
      </c>
      <c r="K31" s="386" t="s">
        <v>61</v>
      </c>
      <c r="L31" s="384" t="s">
        <v>77</v>
      </c>
      <c r="M31" s="384" t="s">
        <v>38</v>
      </c>
      <c r="W31" s="132">
        <v>42755</v>
      </c>
      <c r="X31" s="10">
        <v>42.23</v>
      </c>
      <c r="Y31" s="10">
        <v>42.61</v>
      </c>
      <c r="Z31" s="10">
        <v>41.65</v>
      </c>
      <c r="AA31" s="10">
        <v>42.46</v>
      </c>
      <c r="AB31" s="94">
        <v>2363100</v>
      </c>
      <c r="AC31" s="10">
        <v>42.46</v>
      </c>
      <c r="AD31" s="2">
        <f t="shared" si="0"/>
        <v>0.96000000000000085</v>
      </c>
      <c r="AE31" s="137">
        <f t="shared" si="1"/>
        <v>1.023078753271478E-2</v>
      </c>
    </row>
    <row r="32" spans="1:31" x14ac:dyDescent="0.25">
      <c r="A32" s="387" t="s">
        <v>24</v>
      </c>
      <c r="B32" s="377">
        <v>42156</v>
      </c>
      <c r="C32" s="378">
        <v>5</v>
      </c>
      <c r="D32" s="379">
        <v>48.55</v>
      </c>
      <c r="E32" s="379">
        <v>0</v>
      </c>
      <c r="F32" s="379">
        <f>C32*D32</f>
        <v>242.75</v>
      </c>
      <c r="G32" s="377">
        <v>42186</v>
      </c>
      <c r="H32" s="378">
        <v>100</v>
      </c>
      <c r="I32" s="379">
        <v>44.99</v>
      </c>
      <c r="J32" s="379">
        <v>0.08</v>
      </c>
      <c r="K32" s="379">
        <f>H32*I32-J32</f>
        <v>4498.92</v>
      </c>
      <c r="L32" s="378" t="s">
        <v>80</v>
      </c>
      <c r="M32" s="378"/>
      <c r="W32" s="132">
        <v>42754</v>
      </c>
      <c r="X32" s="10">
        <v>43.15</v>
      </c>
      <c r="Y32" s="10">
        <v>43.47</v>
      </c>
      <c r="Z32" s="10">
        <v>42.02</v>
      </c>
      <c r="AA32" s="10">
        <v>42.03</v>
      </c>
      <c r="AB32" s="94">
        <v>1935200</v>
      </c>
      <c r="AC32" s="10">
        <v>42.03</v>
      </c>
      <c r="AD32" s="2">
        <f t="shared" si="0"/>
        <v>1.4499999999999957</v>
      </c>
      <c r="AE32" s="137">
        <f t="shared" si="1"/>
        <v>-2.7758501040943684E-2</v>
      </c>
    </row>
    <row r="33" spans="1:31" x14ac:dyDescent="0.25">
      <c r="A33" s="388" t="s">
        <v>71</v>
      </c>
      <c r="B33" s="377">
        <v>42156</v>
      </c>
      <c r="C33" s="378">
        <v>5</v>
      </c>
      <c r="D33" s="379">
        <v>47.01</v>
      </c>
      <c r="E33" s="379">
        <v>0</v>
      </c>
      <c r="F33" s="379">
        <f t="shared" ref="F33:F44" si="2">C33*D33</f>
        <v>235.04999999999998</v>
      </c>
      <c r="G33" s="377">
        <v>42227</v>
      </c>
      <c r="H33" s="378">
        <v>100</v>
      </c>
      <c r="I33" s="379">
        <v>43</v>
      </c>
      <c r="J33" s="379">
        <v>0.08</v>
      </c>
      <c r="K33" s="379">
        <f>H33*I33-J33</f>
        <v>4299.92</v>
      </c>
      <c r="L33" s="378"/>
      <c r="M33" s="378"/>
      <c r="W33" s="132">
        <v>42753</v>
      </c>
      <c r="X33" s="10">
        <v>43.85</v>
      </c>
      <c r="Y33" s="10">
        <v>43.85</v>
      </c>
      <c r="Z33" s="10">
        <v>42.31</v>
      </c>
      <c r="AA33" s="10">
        <v>43.23</v>
      </c>
      <c r="AB33" s="94">
        <v>2159000</v>
      </c>
      <c r="AC33" s="10">
        <v>43.23</v>
      </c>
      <c r="AD33" s="2">
        <f t="shared" si="0"/>
        <v>1.5399999999999991</v>
      </c>
      <c r="AE33" s="137">
        <f t="shared" si="1"/>
        <v>-7.5757575757576801E-3</v>
      </c>
    </row>
    <row r="34" spans="1:31" x14ac:dyDescent="0.25">
      <c r="A34" s="378"/>
      <c r="B34" s="377">
        <v>42156</v>
      </c>
      <c r="C34" s="378">
        <v>10</v>
      </c>
      <c r="D34" s="379">
        <v>46.5</v>
      </c>
      <c r="E34" s="379">
        <v>0</v>
      </c>
      <c r="F34" s="379">
        <f t="shared" si="2"/>
        <v>465</v>
      </c>
      <c r="G34" s="377">
        <v>42312</v>
      </c>
      <c r="H34" s="382">
        <v>40</v>
      </c>
      <c r="I34" s="379">
        <v>42.5</v>
      </c>
      <c r="J34" s="379">
        <v>0.03</v>
      </c>
      <c r="K34" s="379">
        <f>H34*I34-J34</f>
        <v>1699.97</v>
      </c>
      <c r="L34" s="378"/>
      <c r="M34" s="378"/>
      <c r="W34" s="132">
        <v>42752</v>
      </c>
      <c r="X34" s="10">
        <v>42.33</v>
      </c>
      <c r="Y34" s="10">
        <v>44.25</v>
      </c>
      <c r="Z34" s="10">
        <v>42.26</v>
      </c>
      <c r="AA34" s="10">
        <v>43.56</v>
      </c>
      <c r="AB34" s="94">
        <v>2291800</v>
      </c>
      <c r="AC34" s="10">
        <v>43.56</v>
      </c>
      <c r="AD34" s="2">
        <f t="shared" si="0"/>
        <v>1.990000000000002</v>
      </c>
      <c r="AE34" s="137">
        <f t="shared" si="1"/>
        <v>2.7600849256900206E-2</v>
      </c>
    </row>
    <row r="35" spans="1:31" x14ac:dyDescent="0.25">
      <c r="A35" s="378"/>
      <c r="B35" s="377">
        <v>42156</v>
      </c>
      <c r="C35" s="378">
        <v>50</v>
      </c>
      <c r="D35" s="379">
        <v>45.95</v>
      </c>
      <c r="E35" s="379">
        <v>0</v>
      </c>
      <c r="F35" s="379">
        <f t="shared" si="2"/>
        <v>2297.5</v>
      </c>
      <c r="G35" s="377">
        <v>42318</v>
      </c>
      <c r="H35" s="382">
        <v>14</v>
      </c>
      <c r="I35" s="379">
        <v>43.5</v>
      </c>
      <c r="J35" s="379">
        <v>0.01</v>
      </c>
      <c r="K35" s="379">
        <f t="shared" ref="K35:K42" si="3">H35*I35-J35</f>
        <v>608.99</v>
      </c>
      <c r="L35" s="378"/>
      <c r="M35" s="378"/>
      <c r="W35" s="132">
        <v>42748</v>
      </c>
      <c r="X35" s="10">
        <v>42.69</v>
      </c>
      <c r="Y35" s="10">
        <v>43.18</v>
      </c>
      <c r="Z35" s="10">
        <v>42.29</v>
      </c>
      <c r="AA35" s="10">
        <v>42.39</v>
      </c>
      <c r="AB35" s="94">
        <v>1359100</v>
      </c>
      <c r="AC35" s="10">
        <v>42.39</v>
      </c>
      <c r="AD35" s="2">
        <f t="shared" si="0"/>
        <v>0.89000000000000057</v>
      </c>
      <c r="AE35" s="137">
        <f t="shared" si="1"/>
        <v>-6.096131301289498E-3</v>
      </c>
    </row>
    <row r="36" spans="1:31" x14ac:dyDescent="0.25">
      <c r="A36" s="378"/>
      <c r="B36" s="377">
        <v>42156</v>
      </c>
      <c r="C36" s="378">
        <v>30</v>
      </c>
      <c r="D36" s="379">
        <v>45.95</v>
      </c>
      <c r="E36" s="379">
        <v>0</v>
      </c>
      <c r="F36" s="379">
        <f t="shared" si="2"/>
        <v>1378.5</v>
      </c>
      <c r="G36" s="377">
        <v>42318</v>
      </c>
      <c r="H36" s="382">
        <v>26</v>
      </c>
      <c r="I36" s="379">
        <v>43.78</v>
      </c>
      <c r="J36" s="379">
        <v>0.02</v>
      </c>
      <c r="K36" s="379">
        <f t="shared" si="3"/>
        <v>1138.26</v>
      </c>
      <c r="L36" s="378"/>
      <c r="M36" s="378"/>
      <c r="W36" s="132">
        <v>42747</v>
      </c>
      <c r="X36" s="10">
        <v>42.67</v>
      </c>
      <c r="Y36" s="10">
        <v>43.2</v>
      </c>
      <c r="Z36" s="10">
        <v>42.51</v>
      </c>
      <c r="AA36" s="10">
        <v>42.65</v>
      </c>
      <c r="AB36" s="94">
        <v>1332900</v>
      </c>
      <c r="AC36" s="10">
        <v>42.65</v>
      </c>
      <c r="AD36" s="2">
        <f t="shared" si="0"/>
        <v>0.69000000000000483</v>
      </c>
      <c r="AE36" s="137">
        <f t="shared" si="1"/>
        <v>-5.1317937951947945E-3</v>
      </c>
    </row>
    <row r="37" spans="1:31" x14ac:dyDescent="0.25">
      <c r="A37" s="378"/>
      <c r="B37" s="377">
        <v>42186</v>
      </c>
      <c r="C37" s="378">
        <v>100</v>
      </c>
      <c r="D37" s="379">
        <v>44.9</v>
      </c>
      <c r="E37" s="379">
        <v>0</v>
      </c>
      <c r="F37" s="379">
        <f t="shared" si="2"/>
        <v>4490</v>
      </c>
      <c r="G37" s="377">
        <v>42320</v>
      </c>
      <c r="H37" s="382">
        <v>10</v>
      </c>
      <c r="I37" s="379">
        <v>43.9</v>
      </c>
      <c r="J37" s="379">
        <v>0.01</v>
      </c>
      <c r="K37" s="379">
        <f t="shared" si="3"/>
        <v>438.99</v>
      </c>
      <c r="L37" s="378"/>
      <c r="M37" s="378"/>
      <c r="W37" s="132">
        <v>42746</v>
      </c>
      <c r="X37" s="10">
        <v>43.72</v>
      </c>
      <c r="Y37" s="10">
        <v>43.72</v>
      </c>
      <c r="Z37" s="10">
        <v>42.75</v>
      </c>
      <c r="AA37" s="10">
        <v>42.87</v>
      </c>
      <c r="AB37" s="94">
        <v>2081700</v>
      </c>
      <c r="AC37" s="10">
        <v>42.87</v>
      </c>
      <c r="AD37" s="2">
        <f t="shared" si="0"/>
        <v>0.96999999999999886</v>
      </c>
      <c r="AE37" s="137">
        <f t="shared" si="1"/>
        <v>-1.1756569847856224E-2</v>
      </c>
    </row>
    <row r="38" spans="1:31" x14ac:dyDescent="0.25">
      <c r="A38" s="378"/>
      <c r="B38" s="377">
        <v>42206</v>
      </c>
      <c r="C38" s="378">
        <v>20</v>
      </c>
      <c r="D38" s="379">
        <v>41.2</v>
      </c>
      <c r="E38" s="379">
        <v>0</v>
      </c>
      <c r="F38" s="379">
        <f t="shared" si="2"/>
        <v>824</v>
      </c>
      <c r="G38" s="377">
        <v>42333</v>
      </c>
      <c r="H38" s="382">
        <v>50</v>
      </c>
      <c r="I38" s="379">
        <v>41.67</v>
      </c>
      <c r="J38" s="379">
        <v>0.04</v>
      </c>
      <c r="K38" s="379">
        <f t="shared" si="3"/>
        <v>2083.46</v>
      </c>
      <c r="L38" s="378"/>
      <c r="M38" s="378"/>
      <c r="W38" s="132">
        <v>42745</v>
      </c>
      <c r="X38" s="10">
        <v>42.04</v>
      </c>
      <c r="Y38" s="10">
        <v>43.88</v>
      </c>
      <c r="Z38" s="10">
        <v>42.04</v>
      </c>
      <c r="AA38" s="10">
        <v>43.38</v>
      </c>
      <c r="AB38" s="94">
        <v>2952300</v>
      </c>
      <c r="AC38" s="10">
        <v>43.38</v>
      </c>
      <c r="AD38" s="2">
        <f t="shared" si="0"/>
        <v>1.8400000000000034</v>
      </c>
      <c r="AE38" s="137">
        <f t="shared" si="1"/>
        <v>3.1874405328258915E-2</v>
      </c>
    </row>
    <row r="39" spans="1:31" x14ac:dyDescent="0.25">
      <c r="A39" s="378"/>
      <c r="B39" s="377">
        <v>42207</v>
      </c>
      <c r="C39" s="378">
        <v>20</v>
      </c>
      <c r="D39" s="379">
        <v>40.68</v>
      </c>
      <c r="E39" s="379">
        <v>0</v>
      </c>
      <c r="F39" s="379">
        <f t="shared" si="2"/>
        <v>813.6</v>
      </c>
      <c r="G39" s="377">
        <v>42335</v>
      </c>
      <c r="H39" s="382">
        <v>50</v>
      </c>
      <c r="I39" s="379">
        <v>41.85</v>
      </c>
      <c r="J39" s="379">
        <v>0.04</v>
      </c>
      <c r="K39" s="379">
        <f t="shared" si="3"/>
        <v>2092.46</v>
      </c>
      <c r="L39" s="378"/>
      <c r="M39" s="378"/>
      <c r="W39" s="132">
        <v>42744</v>
      </c>
      <c r="X39" s="10">
        <v>42.44</v>
      </c>
      <c r="Y39" s="10">
        <v>42.56</v>
      </c>
      <c r="Z39" s="10">
        <v>41.85</v>
      </c>
      <c r="AA39" s="10">
        <v>42.04</v>
      </c>
      <c r="AB39" s="94">
        <v>2137700</v>
      </c>
      <c r="AC39" s="10">
        <v>42.04</v>
      </c>
      <c r="AD39" s="2">
        <f t="shared" si="0"/>
        <v>0.71000000000000085</v>
      </c>
      <c r="AE39" s="137">
        <f t="shared" si="1"/>
        <v>-1.0124793972215662E-2</v>
      </c>
    </row>
    <row r="40" spans="1:31" x14ac:dyDescent="0.25">
      <c r="A40" s="378"/>
      <c r="B40" s="377">
        <v>42292</v>
      </c>
      <c r="C40" s="378">
        <v>40</v>
      </c>
      <c r="D40" s="379">
        <v>41.65</v>
      </c>
      <c r="E40" s="379">
        <v>0</v>
      </c>
      <c r="F40" s="379">
        <f t="shared" si="2"/>
        <v>1666</v>
      </c>
      <c r="G40" s="377">
        <v>42335</v>
      </c>
      <c r="H40" s="382">
        <v>50</v>
      </c>
      <c r="I40" s="379">
        <v>42.4</v>
      </c>
      <c r="J40" s="379">
        <v>0.04</v>
      </c>
      <c r="K40" s="379">
        <f t="shared" si="3"/>
        <v>2119.96</v>
      </c>
      <c r="L40" s="378"/>
      <c r="M40" s="378"/>
      <c r="W40" s="132">
        <v>42741</v>
      </c>
      <c r="X40" s="10">
        <v>42.18</v>
      </c>
      <c r="Y40" s="10">
        <v>42.76</v>
      </c>
      <c r="Z40" s="10">
        <v>42.12</v>
      </c>
      <c r="AA40" s="10">
        <v>42.47</v>
      </c>
      <c r="AB40" s="94">
        <v>2562300</v>
      </c>
      <c r="AC40" s="10">
        <v>42.47</v>
      </c>
      <c r="AD40" s="2">
        <f t="shared" si="0"/>
        <v>0.64000000000000057</v>
      </c>
      <c r="AE40" s="137">
        <f t="shared" si="1"/>
        <v>8.7885985748217266E-3</v>
      </c>
    </row>
    <row r="41" spans="1:31" x14ac:dyDescent="0.25">
      <c r="A41" s="378"/>
      <c r="B41" s="377">
        <v>42298</v>
      </c>
      <c r="C41" s="378">
        <v>80</v>
      </c>
      <c r="D41" s="379">
        <v>40.450000000000003</v>
      </c>
      <c r="E41" s="379">
        <v>0</v>
      </c>
      <c r="F41" s="379">
        <f t="shared" si="2"/>
        <v>3236</v>
      </c>
      <c r="G41" s="377">
        <v>42398</v>
      </c>
      <c r="H41" s="382">
        <v>50</v>
      </c>
      <c r="I41" s="379">
        <v>39.65</v>
      </c>
      <c r="J41" s="379">
        <v>0.04</v>
      </c>
      <c r="K41" s="379">
        <f t="shared" si="3"/>
        <v>1982.46</v>
      </c>
      <c r="L41" s="378"/>
      <c r="M41" s="378"/>
      <c r="W41" s="132">
        <v>42740</v>
      </c>
      <c r="X41" s="10">
        <v>42.65</v>
      </c>
      <c r="Y41" s="10">
        <v>42.71</v>
      </c>
      <c r="Z41" s="10">
        <v>40.81</v>
      </c>
      <c r="AA41" s="10">
        <v>42.1</v>
      </c>
      <c r="AB41" s="94">
        <v>3695900</v>
      </c>
      <c r="AC41" s="10">
        <v>42.1</v>
      </c>
      <c r="AD41" s="2">
        <f t="shared" si="0"/>
        <v>1.8999999999999986</v>
      </c>
      <c r="AE41" s="137">
        <f t="shared" si="1"/>
        <v>-3.2183908045976928E-2</v>
      </c>
    </row>
    <row r="42" spans="1:31" ht="20.25" thickBot="1" x14ac:dyDescent="0.35">
      <c r="A42" s="378"/>
      <c r="B42" s="377">
        <v>42298</v>
      </c>
      <c r="C42" s="378">
        <v>80</v>
      </c>
      <c r="D42" s="379">
        <v>39.9</v>
      </c>
      <c r="E42" s="379">
        <v>0</v>
      </c>
      <c r="F42" s="379">
        <f t="shared" si="2"/>
        <v>3192</v>
      </c>
      <c r="G42" s="377">
        <v>42408</v>
      </c>
      <c r="H42" s="382">
        <v>50</v>
      </c>
      <c r="I42" s="379">
        <v>51.5</v>
      </c>
      <c r="J42" s="379">
        <v>0.05</v>
      </c>
      <c r="K42" s="379">
        <f t="shared" si="3"/>
        <v>2574.9499999999998</v>
      </c>
      <c r="L42" s="378"/>
      <c r="M42" s="378"/>
      <c r="O42" s="159" t="s">
        <v>78</v>
      </c>
      <c r="P42" s="159"/>
      <c r="T42" s="90" t="s">
        <v>113</v>
      </c>
      <c r="W42" s="132">
        <v>42739</v>
      </c>
      <c r="X42" s="10">
        <v>43.2</v>
      </c>
      <c r="Y42" s="10">
        <v>43.93</v>
      </c>
      <c r="Z42" s="10">
        <v>43.2</v>
      </c>
      <c r="AA42" s="10">
        <v>43.5</v>
      </c>
      <c r="AB42" s="94">
        <v>2141200</v>
      </c>
      <c r="AC42" s="10">
        <v>43.5</v>
      </c>
      <c r="AD42" s="2">
        <f t="shared" si="0"/>
        <v>0.72999999999999687</v>
      </c>
      <c r="AE42" s="137">
        <f t="shared" si="1"/>
        <v>9.7493036211699913E-3</v>
      </c>
    </row>
    <row r="43" spans="1:31" ht="15.75" thickTop="1" x14ac:dyDescent="0.25">
      <c r="A43" s="378"/>
      <c r="B43" s="377">
        <v>42333</v>
      </c>
      <c r="C43" s="378">
        <v>50</v>
      </c>
      <c r="D43" s="379">
        <v>41.2</v>
      </c>
      <c r="E43" s="379">
        <v>0</v>
      </c>
      <c r="F43" s="379">
        <f t="shared" si="2"/>
        <v>2060</v>
      </c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40.535000000000004</v>
      </c>
      <c r="T43" s="127" t="s">
        <v>98</v>
      </c>
      <c r="U43" s="97">
        <v>37.03</v>
      </c>
      <c r="W43" s="132">
        <v>42738</v>
      </c>
      <c r="X43" s="10">
        <v>42.78</v>
      </c>
      <c r="Y43" s="10">
        <v>43.45</v>
      </c>
      <c r="Z43" s="10">
        <v>42.1</v>
      </c>
      <c r="AA43" s="10">
        <v>43.08</v>
      </c>
      <c r="AB43" s="94">
        <v>1929500</v>
      </c>
      <c r="AC43" s="10">
        <v>43.08</v>
      </c>
      <c r="AD43" s="2">
        <f t="shared" si="0"/>
        <v>1.3500000000000014</v>
      </c>
      <c r="AE43" s="137">
        <f t="shared" si="1"/>
        <v>2.32666356444855E-3</v>
      </c>
    </row>
    <row r="44" spans="1:31" x14ac:dyDescent="0.25">
      <c r="A44" s="378"/>
      <c r="B44" s="377">
        <v>42377</v>
      </c>
      <c r="C44" s="378">
        <v>50</v>
      </c>
      <c r="D44" s="379">
        <v>37.85</v>
      </c>
      <c r="E44" s="379">
        <v>0</v>
      </c>
      <c r="F44" s="379">
        <f t="shared" si="2"/>
        <v>1892.5</v>
      </c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4">O44*$Q$4</f>
        <v>40.166500000000006</v>
      </c>
      <c r="T44" s="92" t="s">
        <v>99</v>
      </c>
      <c r="U44" s="87">
        <v>37.25</v>
      </c>
      <c r="W44" s="132">
        <v>42734</v>
      </c>
      <c r="X44" s="10">
        <v>42.78</v>
      </c>
      <c r="Y44" s="10">
        <v>43.2</v>
      </c>
      <c r="Z44" s="10">
        <v>42.67</v>
      </c>
      <c r="AA44" s="10">
        <v>42.98</v>
      </c>
      <c r="AB44" s="94">
        <v>1454800</v>
      </c>
      <c r="AC44" s="10">
        <v>42.98</v>
      </c>
      <c r="AD44" s="2">
        <f t="shared" si="0"/>
        <v>0.53000000000000114</v>
      </c>
      <c r="AE44" s="137">
        <f t="shared" si="1"/>
        <v>3.2679738562089167E-3</v>
      </c>
    </row>
    <row r="45" spans="1:31" x14ac:dyDescent="0.25">
      <c r="A45" s="378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8"/>
      <c r="M45" s="378"/>
      <c r="O45" s="82">
        <v>1.08</v>
      </c>
      <c r="P45" s="82">
        <f t="shared" si="4"/>
        <v>39.798000000000002</v>
      </c>
      <c r="R45" s="34"/>
      <c r="T45" s="92" t="s">
        <v>100</v>
      </c>
      <c r="U45" s="87" t="s">
        <v>129</v>
      </c>
      <c r="W45" s="132">
        <v>42733</v>
      </c>
      <c r="X45" s="10">
        <v>43.08</v>
      </c>
      <c r="Y45" s="10">
        <v>43.38</v>
      </c>
      <c r="Z45" s="10">
        <v>42.45</v>
      </c>
      <c r="AA45" s="10">
        <v>42.84</v>
      </c>
      <c r="AB45" s="94">
        <v>1232600</v>
      </c>
      <c r="AC45" s="10">
        <v>42.84</v>
      </c>
      <c r="AD45" s="2">
        <f t="shared" si="0"/>
        <v>0.92999999999999972</v>
      </c>
      <c r="AE45" s="137">
        <f t="shared" si="1"/>
        <v>-6.9541029207231819E-3</v>
      </c>
    </row>
    <row r="46" spans="1:31" x14ac:dyDescent="0.25">
      <c r="A46" s="378"/>
      <c r="B46" s="377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4"/>
        <v>39.429500000000004</v>
      </c>
      <c r="Q46" s="34"/>
      <c r="R46" s="34"/>
      <c r="T46" s="92" t="s">
        <v>101</v>
      </c>
      <c r="U46" s="87" t="s">
        <v>129</v>
      </c>
      <c r="W46" s="132">
        <v>42732</v>
      </c>
      <c r="X46" s="10">
        <v>43.06</v>
      </c>
      <c r="Y46" s="10">
        <v>43.33</v>
      </c>
      <c r="Z46" s="10">
        <v>41.95</v>
      </c>
      <c r="AA46" s="10">
        <v>43.14</v>
      </c>
      <c r="AB46" s="94">
        <v>2247500</v>
      </c>
      <c r="AC46" s="10">
        <v>43.14</v>
      </c>
      <c r="AD46" s="2">
        <f t="shared" si="0"/>
        <v>1.3799999999999955</v>
      </c>
      <c r="AE46" s="137">
        <f t="shared" si="1"/>
        <v>5.1258154706430581E-3</v>
      </c>
    </row>
    <row r="47" spans="1:31" x14ac:dyDescent="0.25">
      <c r="A47" s="378"/>
      <c r="B47" s="377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4"/>
        <v>39.061</v>
      </c>
      <c r="Q47" s="34"/>
      <c r="R47" s="34"/>
      <c r="T47" s="92" t="s">
        <v>102</v>
      </c>
      <c r="U47" s="87">
        <v>42</v>
      </c>
      <c r="W47" s="132">
        <v>42731</v>
      </c>
      <c r="X47" s="10">
        <v>42.48</v>
      </c>
      <c r="Y47" s="10">
        <v>43.6</v>
      </c>
      <c r="Z47" s="10">
        <v>42.34</v>
      </c>
      <c r="AA47" s="10">
        <v>42.92</v>
      </c>
      <c r="AB47" s="94">
        <v>1204700</v>
      </c>
      <c r="AC47" s="10">
        <v>42.92</v>
      </c>
      <c r="AD47" s="2">
        <f t="shared" si="0"/>
        <v>1.259999999999998</v>
      </c>
      <c r="AE47" s="137">
        <f t="shared" si="1"/>
        <v>1.8674136321195078E-3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4"/>
        <v>38.692500000000003</v>
      </c>
      <c r="Q48" s="34"/>
      <c r="R48" s="34"/>
      <c r="T48" s="92" t="s">
        <v>103</v>
      </c>
      <c r="U48" s="87">
        <v>-0.439272</v>
      </c>
      <c r="W48" s="132">
        <v>42727</v>
      </c>
      <c r="X48" s="10">
        <v>42.81</v>
      </c>
      <c r="Y48" s="10">
        <v>43.56</v>
      </c>
      <c r="Z48" s="10">
        <v>42.59</v>
      </c>
      <c r="AA48" s="10">
        <v>42.84</v>
      </c>
      <c r="AB48" s="94">
        <v>1407700</v>
      </c>
      <c r="AC48" s="10">
        <v>42.84</v>
      </c>
      <c r="AD48" s="2">
        <f t="shared" si="0"/>
        <v>0.96999999999999886</v>
      </c>
      <c r="AE48" s="137">
        <f t="shared" si="1"/>
        <v>2.1052631578948322E-3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4"/>
        <v>38.324000000000005</v>
      </c>
      <c r="Q49" s="34"/>
      <c r="R49" s="34"/>
      <c r="T49" s="92" t="s">
        <v>122</v>
      </c>
      <c r="U49" s="87" t="s">
        <v>574</v>
      </c>
      <c r="W49" s="132">
        <v>42726</v>
      </c>
      <c r="X49" s="10">
        <v>44.02</v>
      </c>
      <c r="Y49" s="10">
        <v>44.25</v>
      </c>
      <c r="Z49" s="10">
        <v>42.64</v>
      </c>
      <c r="AA49" s="10">
        <v>42.75</v>
      </c>
      <c r="AB49" s="94">
        <v>3058600</v>
      </c>
      <c r="AC49" s="10">
        <v>42.75</v>
      </c>
      <c r="AD49" s="2">
        <f t="shared" si="0"/>
        <v>1.6099999999999994</v>
      </c>
      <c r="AE49" s="137">
        <f t="shared" si="1"/>
        <v>-3.3024202669079461E-2</v>
      </c>
    </row>
    <row r="50" spans="1:31" x14ac:dyDescent="0.25">
      <c r="A50" s="378"/>
      <c r="B50" s="377"/>
      <c r="C50" s="378"/>
      <c r="D50" s="379"/>
      <c r="E50" s="379"/>
      <c r="F50" s="379"/>
      <c r="G50" s="378"/>
      <c r="H50" s="378"/>
      <c r="I50" s="379"/>
      <c r="J50" s="379"/>
      <c r="K50" s="379"/>
      <c r="L50" s="378"/>
      <c r="M50" s="378"/>
      <c r="O50" s="82">
        <v>1.03</v>
      </c>
      <c r="P50" s="82">
        <f t="shared" si="4"/>
        <v>37.955500000000001</v>
      </c>
      <c r="Q50" s="82"/>
      <c r="R50" s="34"/>
      <c r="T50" s="92"/>
      <c r="U50" s="87"/>
      <c r="W50" s="132">
        <v>42725</v>
      </c>
      <c r="X50" s="10">
        <v>44.37</v>
      </c>
      <c r="Y50" s="10">
        <v>44.4</v>
      </c>
      <c r="Z50" s="10">
        <v>43.55</v>
      </c>
      <c r="AA50" s="10">
        <v>44.21</v>
      </c>
      <c r="AB50" s="94">
        <v>1932200</v>
      </c>
      <c r="AC50" s="10">
        <v>44.21</v>
      </c>
      <c r="AD50" s="2">
        <f t="shared" si="0"/>
        <v>0.85000000000000142</v>
      </c>
      <c r="AE50" s="137">
        <f t="shared" si="1"/>
        <v>-1.1296882060550795E-3</v>
      </c>
    </row>
    <row r="51" spans="1:31" x14ac:dyDescent="0.25">
      <c r="A51" s="378"/>
      <c r="B51" s="377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1.02</v>
      </c>
      <c r="P51" s="82">
        <f t="shared" si="4"/>
        <v>37.587000000000003</v>
      </c>
      <c r="Q51" s="82"/>
      <c r="R51" s="34"/>
      <c r="T51" s="92" t="s">
        <v>105</v>
      </c>
      <c r="U51" s="87" t="s">
        <v>693</v>
      </c>
      <c r="W51" s="132">
        <v>42724</v>
      </c>
      <c r="X51" s="10">
        <v>44.94</v>
      </c>
      <c r="Y51" s="10">
        <v>45</v>
      </c>
      <c r="Z51" s="10">
        <v>43.87</v>
      </c>
      <c r="AA51" s="10">
        <v>44.26</v>
      </c>
      <c r="AB51" s="94">
        <v>2391300</v>
      </c>
      <c r="AC51" s="10">
        <v>44.26</v>
      </c>
      <c r="AD51" s="2">
        <f t="shared" si="0"/>
        <v>1.1300000000000026</v>
      </c>
      <c r="AE51" s="137">
        <f t="shared" si="1"/>
        <v>-1.3154960981047958E-2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2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37.218499999999999</v>
      </c>
      <c r="Q52" s="82"/>
      <c r="R52" s="34"/>
      <c r="T52" s="92" t="s">
        <v>106</v>
      </c>
      <c r="U52" s="87" t="s">
        <v>463</v>
      </c>
      <c r="W52" s="132">
        <v>42723</v>
      </c>
      <c r="X52" s="10">
        <v>45.22</v>
      </c>
      <c r="Y52" s="10">
        <v>45.83</v>
      </c>
      <c r="Z52" s="10">
        <v>44.64</v>
      </c>
      <c r="AA52" s="10">
        <v>44.85</v>
      </c>
      <c r="AB52" s="94">
        <v>2028900</v>
      </c>
      <c r="AC52" s="10">
        <v>44.85</v>
      </c>
      <c r="AD52" s="2">
        <f t="shared" si="0"/>
        <v>1.1899999999999977</v>
      </c>
      <c r="AE52" s="137">
        <f t="shared" si="1"/>
        <v>-7.9628400796284415E-3</v>
      </c>
    </row>
    <row r="53" spans="1:31" x14ac:dyDescent="0.25">
      <c r="A53" s="378"/>
      <c r="B53" s="378"/>
      <c r="C53" s="378"/>
      <c r="D53" s="379"/>
      <c r="E53" s="379"/>
      <c r="F53" s="379"/>
      <c r="G53" s="379"/>
      <c r="H53" s="378"/>
      <c r="I53" s="379"/>
      <c r="J53" s="379"/>
      <c r="K53" s="379"/>
      <c r="L53" s="378"/>
      <c r="M53" s="378"/>
      <c r="O53" s="82">
        <v>1</v>
      </c>
      <c r="P53" s="82">
        <f t="shared" si="4"/>
        <v>36.85</v>
      </c>
      <c r="Q53" s="82"/>
      <c r="R53" s="34"/>
      <c r="T53" s="92" t="s">
        <v>107</v>
      </c>
      <c r="U53" s="89">
        <v>1735443</v>
      </c>
      <c r="W53" s="132">
        <v>42720</v>
      </c>
      <c r="X53" s="10">
        <v>46.13</v>
      </c>
      <c r="Y53" s="10">
        <v>46.43</v>
      </c>
      <c r="Z53" s="10">
        <v>45.04</v>
      </c>
      <c r="AA53" s="10">
        <v>45.21</v>
      </c>
      <c r="AB53" s="94">
        <v>3697500</v>
      </c>
      <c r="AC53" s="10">
        <v>45.21</v>
      </c>
      <c r="AD53" s="2">
        <f t="shared" si="0"/>
        <v>1.3900000000000006</v>
      </c>
      <c r="AE53" s="137">
        <f t="shared" si="1"/>
        <v>-1.7387524451206171E-2</v>
      </c>
    </row>
    <row r="54" spans="1:31" x14ac:dyDescent="0.25">
      <c r="O54" s="82">
        <v>0.99</v>
      </c>
      <c r="P54" s="82">
        <f t="shared" si="4"/>
        <v>36.481500000000004</v>
      </c>
      <c r="Q54" s="82"/>
      <c r="R54" s="34"/>
      <c r="T54" s="92" t="s">
        <v>110</v>
      </c>
      <c r="U54" s="89">
        <v>2902460</v>
      </c>
      <c r="W54" s="132">
        <v>42719</v>
      </c>
      <c r="X54" s="10">
        <v>47.3</v>
      </c>
      <c r="Y54" s="10">
        <v>47.36</v>
      </c>
      <c r="Z54" s="10">
        <v>45.51</v>
      </c>
      <c r="AA54" s="10">
        <v>46.01</v>
      </c>
      <c r="AB54" s="94">
        <v>2902300</v>
      </c>
      <c r="AC54" s="10">
        <v>46.01</v>
      </c>
      <c r="AD54" s="2">
        <f t="shared" si="0"/>
        <v>1.8500000000000014</v>
      </c>
      <c r="AE54" s="137">
        <f t="shared" si="1"/>
        <v>-2.7272727272727226E-2</v>
      </c>
    </row>
    <row r="55" spans="1:31" x14ac:dyDescent="0.25">
      <c r="O55" s="82">
        <v>0.98</v>
      </c>
      <c r="P55" s="82">
        <f t="shared" si="4"/>
        <v>36.113</v>
      </c>
      <c r="Q55" s="82"/>
      <c r="R55" s="34"/>
      <c r="T55" s="92" t="s">
        <v>108</v>
      </c>
      <c r="U55" s="87" t="s">
        <v>694</v>
      </c>
      <c r="W55" s="132">
        <v>42718</v>
      </c>
      <c r="X55" s="10">
        <v>47.85</v>
      </c>
      <c r="Y55" s="10">
        <v>48.95</v>
      </c>
      <c r="Z55" s="10">
        <v>47.21</v>
      </c>
      <c r="AA55" s="10">
        <v>47.3</v>
      </c>
      <c r="AB55" s="94">
        <v>1753200</v>
      </c>
      <c r="AC55" s="10">
        <v>47.3</v>
      </c>
      <c r="AD55" s="2">
        <f t="shared" si="0"/>
        <v>1.740000000000002</v>
      </c>
      <c r="AE55" s="137">
        <f t="shared" si="1"/>
        <v>-1.211361737677541E-2</v>
      </c>
    </row>
    <row r="56" spans="1:31" x14ac:dyDescent="0.25">
      <c r="O56" s="82">
        <v>0.97</v>
      </c>
      <c r="P56" s="82">
        <f t="shared" si="4"/>
        <v>35.744500000000002</v>
      </c>
      <c r="Q56" s="82"/>
      <c r="R56" s="34"/>
      <c r="T56" s="92" t="s">
        <v>111</v>
      </c>
      <c r="U56" s="87">
        <v>8.32</v>
      </c>
      <c r="W56" s="132">
        <v>42717</v>
      </c>
      <c r="X56" s="10">
        <v>47.93</v>
      </c>
      <c r="Y56" s="10">
        <v>48.44</v>
      </c>
      <c r="Z56" s="10">
        <v>47.55</v>
      </c>
      <c r="AA56" s="10">
        <v>47.88</v>
      </c>
      <c r="AB56" s="94">
        <v>1664200</v>
      </c>
      <c r="AC56" s="10">
        <v>47.88</v>
      </c>
      <c r="AD56" s="2">
        <f t="shared" si="0"/>
        <v>0.89000000000000057</v>
      </c>
      <c r="AE56" s="137">
        <f t="shared" si="1"/>
        <v>2.0889910173393922E-4</v>
      </c>
    </row>
    <row r="57" spans="1:31" x14ac:dyDescent="0.25">
      <c r="O57" s="82">
        <v>0.96</v>
      </c>
      <c r="P57" s="82">
        <f t="shared" si="4"/>
        <v>35.375999999999998</v>
      </c>
      <c r="Q57" s="82"/>
      <c r="R57" s="34"/>
      <c r="T57" s="92" t="s">
        <v>112</v>
      </c>
      <c r="U57" s="87">
        <v>4.38</v>
      </c>
      <c r="W57" s="132">
        <v>42716</v>
      </c>
      <c r="X57" s="10">
        <v>49.17</v>
      </c>
      <c r="Y57" s="10">
        <v>49.25</v>
      </c>
      <c r="Z57" s="10">
        <v>47.49</v>
      </c>
      <c r="AA57" s="10">
        <v>47.87</v>
      </c>
      <c r="AB57" s="94">
        <v>2493500</v>
      </c>
      <c r="AC57" s="10">
        <v>47.87</v>
      </c>
      <c r="AD57" s="2">
        <f t="shared" si="0"/>
        <v>1.759999999999998</v>
      </c>
      <c r="AE57" s="137">
        <f t="shared" si="1"/>
        <v>-3.0186385737439259E-2</v>
      </c>
    </row>
    <row r="58" spans="1:31" x14ac:dyDescent="0.25">
      <c r="B58" s="190" t="s">
        <v>114</v>
      </c>
      <c r="C58" s="190" t="s">
        <v>147</v>
      </c>
      <c r="D58" s="191" t="s">
        <v>146</v>
      </c>
      <c r="E58" s="193" t="s">
        <v>148</v>
      </c>
      <c r="F58" s="194" t="s">
        <v>65</v>
      </c>
      <c r="G58" s="228" t="s">
        <v>152</v>
      </c>
      <c r="H58" s="194" t="s">
        <v>88</v>
      </c>
      <c r="O58" s="82">
        <v>0.95</v>
      </c>
      <c r="P58" s="82">
        <f t="shared" si="4"/>
        <v>35.0075</v>
      </c>
      <c r="Q58" s="82"/>
      <c r="R58" s="34"/>
      <c r="T58" s="92" t="s">
        <v>109</v>
      </c>
      <c r="U58" s="87" t="s">
        <v>123</v>
      </c>
      <c r="W58" s="132">
        <v>42713</v>
      </c>
      <c r="X58" s="10">
        <v>50.8</v>
      </c>
      <c r="Y58" s="10">
        <v>51.42</v>
      </c>
      <c r="Z58" s="10">
        <v>49.19</v>
      </c>
      <c r="AA58" s="10">
        <v>49.36</v>
      </c>
      <c r="AB58" s="94">
        <v>1868800</v>
      </c>
      <c r="AC58" s="10">
        <v>49.36</v>
      </c>
      <c r="AD58" s="2">
        <f t="shared" si="0"/>
        <v>2.230000000000004</v>
      </c>
      <c r="AE58" s="137">
        <f t="shared" si="1"/>
        <v>-2.4698676150958332E-2</v>
      </c>
    </row>
    <row r="59" spans="1:31" x14ac:dyDescent="0.25">
      <c r="A59" t="s">
        <v>379</v>
      </c>
      <c r="B59" s="192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30">
        <f>(E59-D59)/D59</f>
        <v>5.2000000000000011E-2</v>
      </c>
      <c r="O59" s="82">
        <v>0.94</v>
      </c>
      <c r="P59" s="82">
        <f t="shared" si="4"/>
        <v>34.639000000000003</v>
      </c>
      <c r="Q59" s="82"/>
      <c r="W59" s="132">
        <v>42712</v>
      </c>
      <c r="X59" s="10">
        <v>49.11</v>
      </c>
      <c r="Y59" s="10">
        <v>51.06</v>
      </c>
      <c r="Z59" s="10">
        <v>48.99</v>
      </c>
      <c r="AA59" s="10">
        <v>50.61</v>
      </c>
      <c r="AB59" s="94">
        <v>3628700</v>
      </c>
      <c r="AC59" s="10">
        <v>50.61</v>
      </c>
      <c r="AD59" s="2">
        <f t="shared" si="0"/>
        <v>2.0700000000000003</v>
      </c>
      <c r="AE59" s="137">
        <f t="shared" si="1"/>
        <v>3.4757718258024983E-2</v>
      </c>
    </row>
    <row r="60" spans="1:31" x14ac:dyDescent="0.25">
      <c r="B60" s="192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34.270500000000006</v>
      </c>
      <c r="Q60" s="82"/>
      <c r="W60" s="132">
        <v>42711</v>
      </c>
      <c r="X60" s="10">
        <v>48.06</v>
      </c>
      <c r="Y60" s="10">
        <v>48.94</v>
      </c>
      <c r="Z60" s="10">
        <v>47.84</v>
      </c>
      <c r="AA60" s="10">
        <v>48.91</v>
      </c>
      <c r="AB60" s="94">
        <v>2036900</v>
      </c>
      <c r="AC60" s="10">
        <v>48.91</v>
      </c>
      <c r="AD60" s="2">
        <f t="shared" si="0"/>
        <v>1.0999999999999943</v>
      </c>
      <c r="AE60" s="137">
        <f t="shared" si="1"/>
        <v>1.1163944593756359E-2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33.902000000000001</v>
      </c>
      <c r="Q61" s="82"/>
      <c r="W61" s="132">
        <v>42710</v>
      </c>
      <c r="X61" s="10">
        <v>48.3</v>
      </c>
      <c r="Y61" s="10">
        <v>48.53</v>
      </c>
      <c r="Z61" s="10">
        <v>47.91</v>
      </c>
      <c r="AA61" s="10">
        <v>48.37</v>
      </c>
      <c r="AB61" s="94">
        <v>1975800</v>
      </c>
      <c r="AC61" s="10">
        <v>48.37</v>
      </c>
      <c r="AD61" s="2">
        <f t="shared" si="0"/>
        <v>0.62000000000000455</v>
      </c>
      <c r="AE61" s="137">
        <f t="shared" si="1"/>
        <v>-2.06313183412421E-3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33.533500000000004</v>
      </c>
      <c r="Q62" s="82"/>
      <c r="W62" s="132">
        <v>42709</v>
      </c>
      <c r="X62" s="10">
        <v>46.55</v>
      </c>
      <c r="Y62" s="10">
        <v>48.5</v>
      </c>
      <c r="Z62" s="10">
        <v>46.31</v>
      </c>
      <c r="AA62" s="10">
        <v>48.47</v>
      </c>
      <c r="AB62" s="94">
        <v>3010800</v>
      </c>
      <c r="AC62" s="10">
        <v>48.47</v>
      </c>
      <c r="AD62" s="2">
        <f t="shared" si="0"/>
        <v>2.1899999999999977</v>
      </c>
      <c r="AE62" s="137">
        <f t="shared" si="1"/>
        <v>4.9134199134199141E-2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33.164999999999999</v>
      </c>
      <c r="Q63" s="82"/>
      <c r="W63" s="132">
        <v>42706</v>
      </c>
      <c r="X63" s="10">
        <v>46.32</v>
      </c>
      <c r="Y63" s="10">
        <v>46.53</v>
      </c>
      <c r="Z63" s="10">
        <v>46.03</v>
      </c>
      <c r="AA63" s="10">
        <v>46.2</v>
      </c>
      <c r="AB63" s="94">
        <v>1951200</v>
      </c>
      <c r="AC63" s="10">
        <v>46.2</v>
      </c>
      <c r="AD63" s="2">
        <f t="shared" si="0"/>
        <v>0.5</v>
      </c>
      <c r="AE63" s="137">
        <f t="shared" si="1"/>
        <v>-6.4892926670978568E-4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42705</v>
      </c>
      <c r="X64" s="10">
        <v>46.5</v>
      </c>
      <c r="Y64" s="10">
        <v>47.2</v>
      </c>
      <c r="Z64" s="10">
        <v>45.8</v>
      </c>
      <c r="AA64" s="10">
        <v>46.23</v>
      </c>
      <c r="AB64" s="94">
        <v>2461500</v>
      </c>
      <c r="AC64" s="10">
        <v>46.23</v>
      </c>
      <c r="AD64" s="2">
        <f t="shared" si="0"/>
        <v>1.4000000000000057</v>
      </c>
      <c r="AE64" s="137">
        <f t="shared" si="1"/>
        <v>-5.5926005592601413E-3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42704</v>
      </c>
      <c r="X65" s="10">
        <v>47.56</v>
      </c>
      <c r="Y65" s="10">
        <v>47.74</v>
      </c>
      <c r="Z65" s="10">
        <v>46.4</v>
      </c>
      <c r="AA65" s="10">
        <v>46.49</v>
      </c>
      <c r="AB65" s="94">
        <v>3004400</v>
      </c>
      <c r="AC65" s="10">
        <v>46.49</v>
      </c>
      <c r="AD65" s="2">
        <f t="shared" si="0"/>
        <v>1.3400000000000034</v>
      </c>
      <c r="AE65" s="137">
        <f t="shared" si="1"/>
        <v>-2.557115908614549E-2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42703</v>
      </c>
      <c r="X66" s="10">
        <v>48.29</v>
      </c>
      <c r="Y66" s="10">
        <v>48.66</v>
      </c>
      <c r="Z66" s="10">
        <v>47.67</v>
      </c>
      <c r="AA66" s="10">
        <v>47.71</v>
      </c>
      <c r="AB66" s="94">
        <v>1575500</v>
      </c>
      <c r="AC66" s="10">
        <v>47.71</v>
      </c>
      <c r="AD66" s="2">
        <f t="shared" si="0"/>
        <v>0.98999999999999488</v>
      </c>
      <c r="AE66" s="137">
        <f t="shared" si="1"/>
        <v>-6.662502602540088E-3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42702</v>
      </c>
      <c r="X67" s="10">
        <v>48.72</v>
      </c>
      <c r="Y67" s="10">
        <v>48.75</v>
      </c>
      <c r="Z67" s="10">
        <v>47.57</v>
      </c>
      <c r="AA67" s="10">
        <v>48.03</v>
      </c>
      <c r="AB67" s="94">
        <v>1977100</v>
      </c>
      <c r="AC67" s="10">
        <v>48.03</v>
      </c>
      <c r="AD67" s="2">
        <f>Y67-Z67</f>
        <v>1.1799999999999997</v>
      </c>
      <c r="AE67" s="137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279" priority="11">
      <formula>Q8&gt;0</formula>
    </cfRule>
    <cfRule type="expression" dxfId="278" priority="12">
      <formula>Q8&lt;0</formula>
    </cfRule>
  </conditionalFormatting>
  <conditionalFormatting sqref="Q7">
    <cfRule type="expression" dxfId="277" priority="13">
      <formula>Q7&gt;0</formula>
    </cfRule>
    <cfRule type="expression" dxfId="276" priority="14">
      <formula>Q7&lt;0</formula>
    </cfRule>
  </conditionalFormatting>
  <conditionalFormatting sqref="F22">
    <cfRule type="expression" dxfId="275" priority="9">
      <formula>F22&gt;0</formula>
    </cfRule>
    <cfRule type="expression" dxfId="274" priority="10">
      <formula>F22&lt;0</formula>
    </cfRule>
  </conditionalFormatting>
  <conditionalFormatting sqref="H22">
    <cfRule type="expression" dxfId="273" priority="7">
      <formula>H22&gt;0</formula>
    </cfRule>
    <cfRule type="expression" dxfId="272" priority="8">
      <formula>H22&lt;0</formula>
    </cfRule>
  </conditionalFormatting>
  <conditionalFormatting sqref="F59">
    <cfRule type="expression" dxfId="271" priority="5">
      <formula>F59&gt;0</formula>
    </cfRule>
    <cfRule type="expression" dxfId="270" priority="6">
      <formula>F59&lt;0</formula>
    </cfRule>
  </conditionalFormatting>
  <conditionalFormatting sqref="H59">
    <cfRule type="expression" dxfId="269" priority="3">
      <formula>H59&gt;0</formula>
    </cfRule>
    <cfRule type="expression" dxfId="268" priority="4">
      <formula>H59&lt;0</formula>
    </cfRule>
  </conditionalFormatting>
  <conditionalFormatting sqref="M30">
    <cfRule type="expression" dxfId="1" priority="1">
      <formula>M30&gt;0</formula>
    </cfRule>
    <cfRule type="expression" dxfId="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42797</v>
      </c>
      <c r="Y2" s="9">
        <v>81.83</v>
      </c>
      <c r="Z2" s="9">
        <v>82</v>
      </c>
      <c r="AA2" s="9">
        <v>81.400000000000006</v>
      </c>
      <c r="AB2" s="9">
        <v>81.86</v>
      </c>
      <c r="AC2" s="103">
        <v>2331400</v>
      </c>
      <c r="AD2" s="9">
        <v>81.86</v>
      </c>
      <c r="AE2" s="2">
        <f>Z2-AA2</f>
        <v>0.59999999999999432</v>
      </c>
      <c r="AF2" s="137">
        <f>AD2/AD3-1</f>
        <v>1.345565749235389E-3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82.05</v>
      </c>
      <c r="T3" s="84"/>
      <c r="X3" s="109">
        <v>42796</v>
      </c>
      <c r="Y3" s="9">
        <v>82.89</v>
      </c>
      <c r="Z3" s="9">
        <v>83.05</v>
      </c>
      <c r="AA3" s="9">
        <v>81.739999999999995</v>
      </c>
      <c r="AB3" s="9">
        <v>81.75</v>
      </c>
      <c r="AC3" s="103">
        <v>2628200</v>
      </c>
      <c r="AD3" s="9">
        <v>81.75</v>
      </c>
      <c r="AE3" s="2">
        <f t="shared" ref="AE3:AE66" si="0">Z3-AA3</f>
        <v>1.3100000000000023</v>
      </c>
      <c r="AF3" s="137">
        <f t="shared" ref="AF3:AF66" si="1">AD3/AD4-1</f>
        <v>-1.1367759100253894E-2</v>
      </c>
    </row>
    <row r="4" spans="1:32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82.05</v>
      </c>
      <c r="R4" s="499">
        <v>5.8999999999999999E-3</v>
      </c>
      <c r="X4" s="109">
        <v>42795</v>
      </c>
      <c r="Y4" s="9">
        <v>82.52</v>
      </c>
      <c r="Z4" s="9">
        <v>82.83</v>
      </c>
      <c r="AA4" s="9">
        <v>82.1</v>
      </c>
      <c r="AB4" s="9">
        <v>82.69</v>
      </c>
      <c r="AC4" s="103">
        <v>2721300</v>
      </c>
      <c r="AD4" s="9">
        <v>82.69</v>
      </c>
      <c r="AE4" s="2">
        <f t="shared" si="0"/>
        <v>0.73000000000000398</v>
      </c>
      <c r="AF4" s="137">
        <f t="shared" si="1"/>
        <v>6.4508276533592479E-3</v>
      </c>
    </row>
    <row r="5" spans="1:3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42794</v>
      </c>
      <c r="Y5" s="9">
        <v>81.290000000000006</v>
      </c>
      <c r="Z5" s="9">
        <v>82.29</v>
      </c>
      <c r="AA5" s="9">
        <v>81</v>
      </c>
      <c r="AB5" s="9">
        <v>82.16</v>
      </c>
      <c r="AC5" s="103">
        <v>2550500</v>
      </c>
      <c r="AD5" s="9">
        <v>82.16</v>
      </c>
      <c r="AE5" s="2">
        <f t="shared" si="0"/>
        <v>1.2900000000000063</v>
      </c>
      <c r="AF5" s="137">
        <f t="shared" si="1"/>
        <v>1.0081140890090934E-2</v>
      </c>
    </row>
    <row r="6" spans="1:3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42793</v>
      </c>
      <c r="Y6" s="9">
        <v>80.94</v>
      </c>
      <c r="Z6" s="9">
        <v>81.510000000000005</v>
      </c>
      <c r="AA6" s="9">
        <v>80.84</v>
      </c>
      <c r="AB6" s="9">
        <v>81.34</v>
      </c>
      <c r="AC6" s="103">
        <v>2103000</v>
      </c>
      <c r="AD6" s="9">
        <v>81.34</v>
      </c>
      <c r="AE6" s="2">
        <f t="shared" si="0"/>
        <v>0.67000000000000171</v>
      </c>
      <c r="AF6" s="137">
        <f t="shared" si="1"/>
        <v>5.3145470275615114E-3</v>
      </c>
    </row>
    <row r="7" spans="1:32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42790</v>
      </c>
      <c r="Y7" s="9">
        <v>80.180000000000007</v>
      </c>
      <c r="Z7" s="9">
        <v>80.91</v>
      </c>
      <c r="AA7" s="9">
        <v>79.89</v>
      </c>
      <c r="AB7" s="9">
        <v>80.91</v>
      </c>
      <c r="AC7" s="103">
        <v>1973300</v>
      </c>
      <c r="AD7" s="9">
        <v>80.91</v>
      </c>
      <c r="AE7" s="2">
        <f t="shared" si="0"/>
        <v>1.019999999999996</v>
      </c>
      <c r="AF7" s="137" t="e">
        <f t="shared" si="1"/>
        <v>#DIV/0!</v>
      </c>
    </row>
    <row r="8" spans="1:32" x14ac:dyDescent="0.25">
      <c r="O8" s="11" t="s">
        <v>183</v>
      </c>
      <c r="P8" s="34"/>
      <c r="Q8" s="2">
        <f>K18+M18-F18+Q2*Q4</f>
        <v>0</v>
      </c>
      <c r="R8" s="164"/>
      <c r="T8" s="84"/>
      <c r="X8" s="109">
        <v>42790</v>
      </c>
      <c r="Y8" s="9" t="s">
        <v>522</v>
      </c>
      <c r="Z8" s="9"/>
      <c r="AA8" s="9"/>
      <c r="AB8" s="9"/>
      <c r="AC8" s="103"/>
      <c r="AD8" s="9"/>
      <c r="AE8" s="2">
        <f t="shared" si="0"/>
        <v>0</v>
      </c>
      <c r="AF8" s="137">
        <f t="shared" si="1"/>
        <v>-1</v>
      </c>
    </row>
    <row r="9" spans="1:32" x14ac:dyDescent="0.25">
      <c r="O9" s="11" t="s">
        <v>213</v>
      </c>
      <c r="Q9" s="137">
        <f>IF(Q2=0, 0, Q8/Q6)</f>
        <v>0</v>
      </c>
      <c r="X9" s="109">
        <v>42789</v>
      </c>
      <c r="Y9" s="9">
        <v>80.400000000000006</v>
      </c>
      <c r="Z9" s="9">
        <v>80.900000000000006</v>
      </c>
      <c r="AA9" s="9">
        <v>80.31</v>
      </c>
      <c r="AB9" s="9">
        <v>80.55</v>
      </c>
      <c r="AC9" s="103">
        <v>3190200</v>
      </c>
      <c r="AD9" s="9">
        <v>80.180000000000007</v>
      </c>
      <c r="AE9" s="2">
        <f t="shared" si="0"/>
        <v>0.59000000000000341</v>
      </c>
      <c r="AF9" s="137">
        <f t="shared" si="1"/>
        <v>-3.740182022190508E-4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42788</v>
      </c>
      <c r="Y10" s="9">
        <v>80.13</v>
      </c>
      <c r="Z10" s="9">
        <v>80.78</v>
      </c>
      <c r="AA10" s="9">
        <v>80.06</v>
      </c>
      <c r="AB10" s="9">
        <v>80.58</v>
      </c>
      <c r="AC10" s="103">
        <v>2438500</v>
      </c>
      <c r="AD10" s="9">
        <v>80.209999999999994</v>
      </c>
      <c r="AE10" s="2">
        <f t="shared" si="0"/>
        <v>0.71999999999999886</v>
      </c>
      <c r="AF10" s="137">
        <f t="shared" si="1"/>
        <v>-4.984423676013261E-4</v>
      </c>
    </row>
    <row r="11" spans="1:32" x14ac:dyDescent="0.25">
      <c r="O11" s="11" t="s">
        <v>178</v>
      </c>
      <c r="P11" s="34"/>
      <c r="Q11" s="137">
        <f>VALUE(TRIM(CLEAN(MID(U55, FIND("(", U55)+1, 5))))</f>
        <v>1.66E-2</v>
      </c>
      <c r="T11" s="120"/>
      <c r="U11" s="68"/>
      <c r="X11" s="109">
        <v>42787</v>
      </c>
      <c r="Y11" s="9">
        <v>80.56</v>
      </c>
      <c r="Z11" s="9">
        <v>80.8</v>
      </c>
      <c r="AA11" s="9">
        <v>80.31</v>
      </c>
      <c r="AB11" s="9">
        <v>80.62</v>
      </c>
      <c r="AC11" s="103">
        <v>2436700</v>
      </c>
      <c r="AD11" s="9">
        <v>80.25</v>
      </c>
      <c r="AE11" s="2">
        <f t="shared" si="0"/>
        <v>0.48999999999999488</v>
      </c>
      <c r="AF11" s="137">
        <f t="shared" si="1"/>
        <v>2.2480329711502822E-3</v>
      </c>
    </row>
    <row r="12" spans="1:32" x14ac:dyDescent="0.25">
      <c r="X12" s="109">
        <v>42783</v>
      </c>
      <c r="Y12" s="9">
        <v>80.47</v>
      </c>
      <c r="Z12" s="9">
        <v>80.48</v>
      </c>
      <c r="AA12" s="9">
        <v>80.08</v>
      </c>
      <c r="AB12" s="9">
        <v>80.44</v>
      </c>
      <c r="AC12" s="103">
        <v>1920300</v>
      </c>
      <c r="AD12" s="9">
        <v>80.069999999999993</v>
      </c>
      <c r="AE12" s="2">
        <f t="shared" si="0"/>
        <v>0.40000000000000568</v>
      </c>
      <c r="AF12" s="137">
        <f t="shared" si="1"/>
        <v>-4.4759418127565676E-3</v>
      </c>
    </row>
    <row r="13" spans="1:32" x14ac:dyDescent="0.25">
      <c r="Q13" s="2"/>
      <c r="X13" s="109">
        <v>42782</v>
      </c>
      <c r="Y13" s="9">
        <v>80.62</v>
      </c>
      <c r="Z13" s="9">
        <v>80.819999999999993</v>
      </c>
      <c r="AA13" s="9">
        <v>80.400000000000006</v>
      </c>
      <c r="AB13" s="9">
        <v>80.8</v>
      </c>
      <c r="AC13" s="103">
        <v>1779000</v>
      </c>
      <c r="AD13" s="9">
        <v>80.430000000000007</v>
      </c>
      <c r="AE13" s="2">
        <f t="shared" si="0"/>
        <v>0.41999999999998749</v>
      </c>
      <c r="AF13" s="137">
        <f t="shared" si="1"/>
        <v>1.1202389843167904E-3</v>
      </c>
    </row>
    <row r="14" spans="1:32" x14ac:dyDescent="0.25">
      <c r="X14" s="109">
        <v>42781</v>
      </c>
      <c r="Y14" s="9">
        <v>80</v>
      </c>
      <c r="Z14" s="9">
        <v>80.72</v>
      </c>
      <c r="AA14" s="9">
        <v>79.59</v>
      </c>
      <c r="AB14" s="9">
        <v>80.709999999999994</v>
      </c>
      <c r="AC14" s="103">
        <v>1820200</v>
      </c>
      <c r="AD14" s="9">
        <v>80.34</v>
      </c>
      <c r="AE14" s="2">
        <f t="shared" si="0"/>
        <v>1.1299999999999955</v>
      </c>
      <c r="AF14" s="137">
        <f t="shared" si="1"/>
        <v>1.1456628477904962E-2</v>
      </c>
    </row>
    <row r="15" spans="1:32" x14ac:dyDescent="0.25">
      <c r="X15" s="109">
        <v>42780</v>
      </c>
      <c r="Y15" s="9">
        <v>79.72</v>
      </c>
      <c r="Z15" s="9">
        <v>79.819999999999993</v>
      </c>
      <c r="AA15" s="9">
        <v>79.099999999999994</v>
      </c>
      <c r="AB15" s="9">
        <v>79.8</v>
      </c>
      <c r="AC15" s="103">
        <v>1798000</v>
      </c>
      <c r="AD15" s="9">
        <v>79.430000000000007</v>
      </c>
      <c r="AE15" s="2">
        <f t="shared" si="0"/>
        <v>0.71999999999999886</v>
      </c>
      <c r="AF15" s="137">
        <f t="shared" si="1"/>
        <v>2.3977788995457328E-3</v>
      </c>
    </row>
    <row r="16" spans="1:32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3"/>
      <c r="X16" s="109">
        <v>42779</v>
      </c>
      <c r="Y16" s="9">
        <v>78.95</v>
      </c>
      <c r="Z16" s="9">
        <v>79.64</v>
      </c>
      <c r="AA16" s="9">
        <v>78.81</v>
      </c>
      <c r="AB16" s="9">
        <v>79.61</v>
      </c>
      <c r="AC16" s="103">
        <v>1427500</v>
      </c>
      <c r="AD16" s="9">
        <v>79.239999999999995</v>
      </c>
      <c r="AE16" s="2">
        <f t="shared" si="0"/>
        <v>0.82999999999999829</v>
      </c>
      <c r="AF16" s="137">
        <f t="shared" si="1"/>
        <v>9.1696383087112032E-3</v>
      </c>
    </row>
    <row r="17" spans="1:32" x14ac:dyDescent="0.25">
      <c r="B17" s="73"/>
      <c r="C17" s="4"/>
      <c r="D17" s="3"/>
      <c r="E17" s="3"/>
      <c r="F17" s="3"/>
      <c r="G17" s="3"/>
      <c r="H17" s="184"/>
      <c r="I17" s="3"/>
      <c r="J17" s="3"/>
      <c r="K17" s="3"/>
      <c r="L17" s="4"/>
      <c r="M17" s="3"/>
      <c r="X17" s="109">
        <v>42776</v>
      </c>
      <c r="Y17" s="9">
        <v>78.55</v>
      </c>
      <c r="Z17" s="9">
        <v>79.31</v>
      </c>
      <c r="AA17" s="9">
        <v>78.13</v>
      </c>
      <c r="AB17" s="9">
        <v>78.88</v>
      </c>
      <c r="AC17" s="103">
        <v>1636700</v>
      </c>
      <c r="AD17" s="9">
        <v>78.52</v>
      </c>
      <c r="AE17" s="2">
        <f t="shared" si="0"/>
        <v>1.1800000000000068</v>
      </c>
      <c r="AF17" s="137">
        <f t="shared" si="1"/>
        <v>6.7957430439800071E-3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42775</v>
      </c>
      <c r="Y18" s="9">
        <v>77.989999999999995</v>
      </c>
      <c r="Z18" s="9">
        <v>78.39</v>
      </c>
      <c r="AA18" s="9">
        <v>77.73</v>
      </c>
      <c r="AB18" s="9">
        <v>78.349999999999994</v>
      </c>
      <c r="AC18" s="103">
        <v>1912700</v>
      </c>
      <c r="AD18" s="9">
        <v>77.989999999999995</v>
      </c>
      <c r="AE18" s="2">
        <f t="shared" si="0"/>
        <v>0.65999999999999659</v>
      </c>
      <c r="AF18" s="137">
        <f t="shared" si="1"/>
        <v>4.6373824552363718E-3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42774</v>
      </c>
      <c r="Y19" s="9">
        <v>78.099999999999994</v>
      </c>
      <c r="Z19" s="9">
        <v>78.19</v>
      </c>
      <c r="AA19" s="9">
        <v>77.8</v>
      </c>
      <c r="AB19" s="9">
        <v>77.989999999999995</v>
      </c>
      <c r="AC19" s="103">
        <v>1496600</v>
      </c>
      <c r="AD19" s="9">
        <v>77.63</v>
      </c>
      <c r="AE19" s="2">
        <f t="shared" si="0"/>
        <v>0.39000000000000057</v>
      </c>
      <c r="AF19" s="137">
        <f t="shared" si="1"/>
        <v>-1.6718106995885496E-3</v>
      </c>
    </row>
    <row r="20" spans="1:32" x14ac:dyDescent="0.25">
      <c r="X20" s="109">
        <v>42773</v>
      </c>
      <c r="Y20" s="9">
        <v>78.5</v>
      </c>
      <c r="Z20" s="9">
        <v>78.680000000000007</v>
      </c>
      <c r="AA20" s="9">
        <v>78.069999999999993</v>
      </c>
      <c r="AB20" s="9">
        <v>78.12</v>
      </c>
      <c r="AC20" s="103">
        <v>1764900</v>
      </c>
      <c r="AD20" s="9">
        <v>77.760000000000005</v>
      </c>
      <c r="AE20" s="2">
        <f t="shared" si="0"/>
        <v>0.61000000000001364</v>
      </c>
      <c r="AF20" s="137">
        <f t="shared" si="1"/>
        <v>5.146680391148184E-4</v>
      </c>
    </row>
    <row r="21" spans="1:32" x14ac:dyDescent="0.25">
      <c r="X21" s="109">
        <v>42772</v>
      </c>
      <c r="Y21" s="9">
        <v>77.430000000000007</v>
      </c>
      <c r="Z21" s="9">
        <v>78.22</v>
      </c>
      <c r="AA21" s="9">
        <v>76.97</v>
      </c>
      <c r="AB21" s="9">
        <v>78.08</v>
      </c>
      <c r="AC21" s="103">
        <v>2348300</v>
      </c>
      <c r="AD21" s="9">
        <v>77.72</v>
      </c>
      <c r="AE21" s="2">
        <f t="shared" si="0"/>
        <v>1.25</v>
      </c>
      <c r="AF21" s="137">
        <f t="shared" si="1"/>
        <v>7.7800829875518396E-3</v>
      </c>
    </row>
    <row r="22" spans="1:32" x14ac:dyDescent="0.25">
      <c r="X22" s="109">
        <v>42769</v>
      </c>
      <c r="Y22" s="9">
        <v>77.92</v>
      </c>
      <c r="Z22" s="9">
        <v>78</v>
      </c>
      <c r="AA22" s="9">
        <v>77.290000000000006</v>
      </c>
      <c r="AB22" s="9">
        <v>77.48</v>
      </c>
      <c r="AC22" s="103">
        <v>2109700</v>
      </c>
      <c r="AD22" s="9">
        <v>77.12</v>
      </c>
      <c r="AE22" s="2">
        <f t="shared" si="0"/>
        <v>0.70999999999999375</v>
      </c>
      <c r="AF22" s="137">
        <f t="shared" si="1"/>
        <v>1.0384215991692258E-3</v>
      </c>
    </row>
    <row r="23" spans="1:32" x14ac:dyDescent="0.25">
      <c r="X23" s="109">
        <v>42768</v>
      </c>
      <c r="Y23" s="9">
        <v>76.739999999999995</v>
      </c>
      <c r="Z23" s="9">
        <v>78.12</v>
      </c>
      <c r="AA23" s="9">
        <v>76.38</v>
      </c>
      <c r="AB23" s="9">
        <v>77.400000000000006</v>
      </c>
      <c r="AC23" s="103">
        <v>3883200</v>
      </c>
      <c r="AD23" s="9">
        <v>77.040000000000006</v>
      </c>
      <c r="AE23" s="2">
        <f t="shared" si="0"/>
        <v>1.7400000000000091</v>
      </c>
      <c r="AF23" s="137">
        <f t="shared" si="1"/>
        <v>2.8708772866871568E-2</v>
      </c>
    </row>
    <row r="24" spans="1:32" x14ac:dyDescent="0.25">
      <c r="X24" s="109">
        <v>42767</v>
      </c>
      <c r="Y24" s="9">
        <v>75.569999999999993</v>
      </c>
      <c r="Z24" s="9">
        <v>75.97</v>
      </c>
      <c r="AA24" s="9">
        <v>75</v>
      </c>
      <c r="AB24" s="9">
        <v>75.239999999999995</v>
      </c>
      <c r="AC24" s="103">
        <v>2411700</v>
      </c>
      <c r="AD24" s="9">
        <v>74.89</v>
      </c>
      <c r="AE24" s="2">
        <f t="shared" si="0"/>
        <v>0.96999999999999886</v>
      </c>
      <c r="AF24" s="137">
        <f t="shared" si="1"/>
        <v>4.0074806305101518E-4</v>
      </c>
    </row>
    <row r="25" spans="1:32" x14ac:dyDescent="0.25">
      <c r="X25" s="109">
        <v>42766</v>
      </c>
      <c r="Y25" s="9">
        <v>75.27</v>
      </c>
      <c r="Z25" s="9">
        <v>75.58</v>
      </c>
      <c r="AA25" s="9">
        <v>74.739999999999995</v>
      </c>
      <c r="AB25" s="9">
        <v>75.209999999999994</v>
      </c>
      <c r="AC25" s="103">
        <v>2041900</v>
      </c>
      <c r="AD25" s="9">
        <v>74.86</v>
      </c>
      <c r="AE25" s="2">
        <f t="shared" si="0"/>
        <v>0.84000000000000341</v>
      </c>
      <c r="AF25" s="137">
        <f t="shared" si="1"/>
        <v>-5.3149083178315459E-3</v>
      </c>
    </row>
    <row r="26" spans="1:32" x14ac:dyDescent="0.25">
      <c r="B26" s="190" t="s">
        <v>114</v>
      </c>
      <c r="C26" s="190" t="s">
        <v>147</v>
      </c>
      <c r="D26" s="191" t="s">
        <v>146</v>
      </c>
      <c r="E26" s="193" t="s">
        <v>148</v>
      </c>
      <c r="F26" s="194" t="s">
        <v>65</v>
      </c>
      <c r="G26" s="228" t="s">
        <v>152</v>
      </c>
      <c r="H26" s="228" t="s">
        <v>88</v>
      </c>
      <c r="X26" s="109">
        <v>42765</v>
      </c>
      <c r="Y26" s="9">
        <v>75.489999999999995</v>
      </c>
      <c r="Z26" s="9">
        <v>75.67</v>
      </c>
      <c r="AA26" s="9">
        <v>75.13</v>
      </c>
      <c r="AB26" s="9">
        <v>75.61</v>
      </c>
      <c r="AC26" s="103">
        <v>1748100</v>
      </c>
      <c r="AD26" s="9">
        <v>75.260000000000005</v>
      </c>
      <c r="AE26" s="2">
        <f t="shared" si="0"/>
        <v>0.54000000000000625</v>
      </c>
      <c r="AF26" s="137">
        <f t="shared" si="1"/>
        <v>2.658160552899691E-4</v>
      </c>
    </row>
    <row r="27" spans="1:32" x14ac:dyDescent="0.25">
      <c r="B27" s="192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0">
        <f>IF(C27=0, 0, (E27-D27)/D27)</f>
        <v>-8.714238737257499E-3</v>
      </c>
      <c r="X27" s="109">
        <v>42762</v>
      </c>
      <c r="Y27" s="9">
        <v>75.290000000000006</v>
      </c>
      <c r="Z27" s="9">
        <v>75.81</v>
      </c>
      <c r="AA27" s="9">
        <v>75.22</v>
      </c>
      <c r="AB27" s="9">
        <v>75.59</v>
      </c>
      <c r="AC27" s="103">
        <v>1275500</v>
      </c>
      <c r="AD27" s="9">
        <v>75.239999999999995</v>
      </c>
      <c r="AE27" s="2">
        <f t="shared" si="0"/>
        <v>0.59000000000000341</v>
      </c>
      <c r="AF27" s="137">
        <f t="shared" si="1"/>
        <v>-2.9154518950437192E-3</v>
      </c>
    </row>
    <row r="28" spans="1:32" x14ac:dyDescent="0.25">
      <c r="A28" s="31"/>
      <c r="B28" s="192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0">
        <f>IF(C28=0, 0, (E28-D28)/D28)</f>
        <v>1.0299166257969517E-2</v>
      </c>
      <c r="X28" s="109">
        <v>42761</v>
      </c>
      <c r="Y28" s="9">
        <v>75.42</v>
      </c>
      <c r="Z28" s="9">
        <v>75.849999999999994</v>
      </c>
      <c r="AA28" s="9">
        <v>75.209999999999994</v>
      </c>
      <c r="AB28" s="9">
        <v>75.81</v>
      </c>
      <c r="AC28" s="103">
        <v>1574900</v>
      </c>
      <c r="AD28" s="9">
        <v>75.459999999999994</v>
      </c>
      <c r="AE28" s="2">
        <f t="shared" si="0"/>
        <v>0.64000000000000057</v>
      </c>
      <c r="AF28" s="137">
        <f t="shared" si="1"/>
        <v>5.5970149253730117E-3</v>
      </c>
    </row>
    <row r="29" spans="1:32" x14ac:dyDescent="0.25">
      <c r="A29" s="31"/>
      <c r="B29" s="192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0">
        <f>IF(C29=0, 0, (E29-D29)/D29)</f>
        <v>8.1321691491183026E-2</v>
      </c>
      <c r="X29" s="109">
        <v>42760</v>
      </c>
      <c r="Y29" s="9">
        <v>74.77</v>
      </c>
      <c r="Z29" s="9">
        <v>75.53</v>
      </c>
      <c r="AA29" s="9">
        <v>74.739999999999995</v>
      </c>
      <c r="AB29" s="9">
        <v>75.39</v>
      </c>
      <c r="AC29" s="103">
        <v>1769100</v>
      </c>
      <c r="AD29" s="9">
        <v>75.040000000000006</v>
      </c>
      <c r="AE29" s="2">
        <f t="shared" si="0"/>
        <v>0.79000000000000625</v>
      </c>
      <c r="AF29" s="137">
        <f t="shared" si="1"/>
        <v>1.2275731822474212E-2</v>
      </c>
    </row>
    <row r="30" spans="1:32" x14ac:dyDescent="0.25">
      <c r="A30" s="31"/>
      <c r="B30" s="192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0">
        <f>IF(C30=0, 0, (E30-D30)/D30)</f>
        <v>0.39713971397139708</v>
      </c>
      <c r="X30" s="109">
        <v>42759</v>
      </c>
      <c r="Y30" s="9">
        <v>74.239999999999995</v>
      </c>
      <c r="Z30" s="9">
        <v>74.66</v>
      </c>
      <c r="AA30" s="9">
        <v>73.97</v>
      </c>
      <c r="AB30" s="9">
        <v>74.47</v>
      </c>
      <c r="AC30" s="103">
        <v>1075500</v>
      </c>
      <c r="AD30" s="9">
        <v>74.13</v>
      </c>
      <c r="AE30" s="2">
        <f t="shared" si="0"/>
        <v>0.68999999999999773</v>
      </c>
      <c r="AF30" s="137">
        <f t="shared" si="1"/>
        <v>4.3354559002843907E-3</v>
      </c>
    </row>
    <row r="31" spans="1:32" x14ac:dyDescent="0.25">
      <c r="B31" s="192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0"/>
      <c r="I31" s="195"/>
      <c r="X31" s="109">
        <v>42758</v>
      </c>
      <c r="Y31" s="9">
        <v>74.59</v>
      </c>
      <c r="Z31" s="9">
        <v>74.650000000000006</v>
      </c>
      <c r="AA31" s="9">
        <v>73.959999999999994</v>
      </c>
      <c r="AB31" s="9">
        <v>74.150000000000006</v>
      </c>
      <c r="AC31" s="103">
        <v>1232700</v>
      </c>
      <c r="AD31" s="9">
        <v>73.81</v>
      </c>
      <c r="AE31" s="2">
        <f t="shared" si="0"/>
        <v>0.69000000000001194</v>
      </c>
      <c r="AF31" s="137">
        <f t="shared" si="1"/>
        <v>-5.2560646900269292E-3</v>
      </c>
    </row>
    <row r="32" spans="1:32" x14ac:dyDescent="0.25">
      <c r="B32" s="192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0">
        <f>IF(C32=0, 0, (E32-D32)/D32)</f>
        <v>0.19523246650906234</v>
      </c>
      <c r="X32" s="109">
        <v>42755</v>
      </c>
      <c r="Y32" s="9">
        <v>74.37</v>
      </c>
      <c r="Z32" s="9">
        <v>74.959999999999994</v>
      </c>
      <c r="AA32" s="9">
        <v>74.37</v>
      </c>
      <c r="AB32" s="9">
        <v>74.540000000000006</v>
      </c>
      <c r="AC32" s="103">
        <v>1528400</v>
      </c>
      <c r="AD32" s="9">
        <v>74.2</v>
      </c>
      <c r="AE32" s="2">
        <f t="shared" si="0"/>
        <v>0.5899999999999892</v>
      </c>
      <c r="AF32" s="137">
        <f t="shared" si="1"/>
        <v>4.3313481321061165E-3</v>
      </c>
    </row>
    <row r="33" spans="1:32" x14ac:dyDescent="0.25">
      <c r="B33" s="192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0"/>
      <c r="X33" s="109">
        <v>42754</v>
      </c>
      <c r="Y33" s="9">
        <v>74.66</v>
      </c>
      <c r="Z33" s="9">
        <v>74.78</v>
      </c>
      <c r="AA33" s="9">
        <v>73.900000000000006</v>
      </c>
      <c r="AB33" s="9">
        <v>74.22</v>
      </c>
      <c r="AC33" s="103">
        <v>1282100</v>
      </c>
      <c r="AD33" s="9">
        <v>73.88</v>
      </c>
      <c r="AE33" s="2">
        <f t="shared" si="0"/>
        <v>0.87999999999999545</v>
      </c>
      <c r="AF33" s="137">
        <f t="shared" si="1"/>
        <v>-4.0442167700189824E-3</v>
      </c>
    </row>
    <row r="34" spans="1:32" x14ac:dyDescent="0.25">
      <c r="B34" s="10"/>
      <c r="C34" s="10"/>
      <c r="D34" s="40"/>
      <c r="E34" s="40"/>
      <c r="F34" s="40"/>
      <c r="G34" s="40"/>
      <c r="H34" s="230"/>
      <c r="X34" s="109">
        <v>42753</v>
      </c>
      <c r="Y34" s="9">
        <v>74</v>
      </c>
      <c r="Z34" s="9">
        <v>74.83</v>
      </c>
      <c r="AA34" s="9">
        <v>73.92</v>
      </c>
      <c r="AB34" s="9">
        <v>74.52</v>
      </c>
      <c r="AC34" s="103">
        <v>1795800</v>
      </c>
      <c r="AD34" s="9">
        <v>74.180000000000007</v>
      </c>
      <c r="AE34" s="2">
        <f t="shared" si="0"/>
        <v>0.90999999999999659</v>
      </c>
      <c r="AF34" s="137">
        <f t="shared" si="1"/>
        <v>9.1144062032377793E-3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0"/>
      <c r="O35" s="703" t="s">
        <v>78</v>
      </c>
      <c r="P35" s="703"/>
      <c r="X35" s="109">
        <v>42752</v>
      </c>
      <c r="Y35" s="9">
        <v>73.61</v>
      </c>
      <c r="Z35" s="9">
        <v>73.89</v>
      </c>
      <c r="AA35" s="9">
        <v>73.39</v>
      </c>
      <c r="AB35" s="9">
        <v>73.849999999999994</v>
      </c>
      <c r="AC35" s="103">
        <v>1180000</v>
      </c>
      <c r="AD35" s="9">
        <v>73.510000000000005</v>
      </c>
      <c r="AE35" s="2">
        <f t="shared" si="0"/>
        <v>0.5</v>
      </c>
      <c r="AF35" s="137">
        <f t="shared" si="1"/>
        <v>-5.4384772263760262E-4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0"/>
      <c r="O36" s="82">
        <v>1.1000000000000001</v>
      </c>
      <c r="P36" s="82">
        <f>O36*$Q$4</f>
        <v>90.25500000000001</v>
      </c>
      <c r="Q36" s="2"/>
      <c r="X36" s="109">
        <v>42748</v>
      </c>
      <c r="Y36" s="9">
        <v>73.91</v>
      </c>
      <c r="Z36" s="9">
        <v>74.349999999999994</v>
      </c>
      <c r="AA36" s="9">
        <v>73.8</v>
      </c>
      <c r="AB36" s="9">
        <v>73.89</v>
      </c>
      <c r="AC36" s="103">
        <v>1220200</v>
      </c>
      <c r="AD36" s="9">
        <v>73.55</v>
      </c>
      <c r="AE36" s="2">
        <f t="shared" si="0"/>
        <v>0.54999999999999716</v>
      </c>
      <c r="AF36" s="137">
        <f t="shared" si="1"/>
        <v>2.8633760567220445E-3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0"/>
      <c r="O37" s="82">
        <v>1.0900000000000001</v>
      </c>
      <c r="P37" s="82">
        <f t="shared" ref="P37:P56" si="3">O37*$Q$4</f>
        <v>89.4345</v>
      </c>
      <c r="Q37" s="2"/>
      <c r="X37" s="109">
        <v>42747</v>
      </c>
      <c r="Y37" s="9">
        <v>73.56</v>
      </c>
      <c r="Z37" s="9">
        <v>73.790000000000006</v>
      </c>
      <c r="AA37" s="9">
        <v>73.13</v>
      </c>
      <c r="AB37" s="9">
        <v>73.680000000000007</v>
      </c>
      <c r="AC37" s="103">
        <v>1110500</v>
      </c>
      <c r="AD37" s="9">
        <v>73.34</v>
      </c>
      <c r="AE37" s="2">
        <f t="shared" si="0"/>
        <v>0.6600000000000108</v>
      </c>
      <c r="AF37" s="137">
        <f t="shared" si="1"/>
        <v>-3.5326086956520841E-3</v>
      </c>
    </row>
    <row r="38" spans="1:32" x14ac:dyDescent="0.25">
      <c r="B38" s="10"/>
      <c r="C38" s="10"/>
      <c r="D38" s="40"/>
      <c r="E38" s="40"/>
      <c r="F38" s="40"/>
      <c r="G38" s="40"/>
      <c r="H38" s="230"/>
      <c r="O38" s="82">
        <v>1.08</v>
      </c>
      <c r="P38" s="82">
        <f t="shared" si="3"/>
        <v>88.614000000000004</v>
      </c>
      <c r="Q38" s="2"/>
      <c r="X38" s="109">
        <v>42746</v>
      </c>
      <c r="Y38" s="9">
        <v>73.94</v>
      </c>
      <c r="Z38" s="9">
        <v>74.260000000000005</v>
      </c>
      <c r="AA38" s="9">
        <v>73.59</v>
      </c>
      <c r="AB38" s="9">
        <v>73.94</v>
      </c>
      <c r="AC38" s="103">
        <v>1738500</v>
      </c>
      <c r="AD38" s="9">
        <v>73.599999999999994</v>
      </c>
      <c r="AE38" s="2">
        <f t="shared" si="0"/>
        <v>0.67000000000000171</v>
      </c>
      <c r="AF38" s="137">
        <f t="shared" si="1"/>
        <v>2.5882032420649903E-3</v>
      </c>
    </row>
    <row r="39" spans="1:32" ht="20.25" thickBot="1" x14ac:dyDescent="0.35">
      <c r="O39" s="82">
        <v>1.07</v>
      </c>
      <c r="P39" s="82">
        <f t="shared" si="3"/>
        <v>87.793500000000009</v>
      </c>
      <c r="Q39" s="2"/>
      <c r="T39" s="111" t="s">
        <v>92</v>
      </c>
      <c r="U39" s="2"/>
      <c r="X39" s="109">
        <v>42745</v>
      </c>
      <c r="Y39" s="9">
        <v>73.28</v>
      </c>
      <c r="Z39" s="9">
        <v>74.3</v>
      </c>
      <c r="AA39" s="9">
        <v>73.260000000000005</v>
      </c>
      <c r="AB39" s="9">
        <v>73.75</v>
      </c>
      <c r="AC39" s="103">
        <v>2350000</v>
      </c>
      <c r="AD39" s="9">
        <v>73.41</v>
      </c>
      <c r="AE39" s="2">
        <f t="shared" si="0"/>
        <v>1.039999999999992</v>
      </c>
      <c r="AF39" s="137">
        <f t="shared" si="1"/>
        <v>9.0721649484535316E-3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86.972999999999999</v>
      </c>
      <c r="Q40" s="2"/>
      <c r="T40" s="112" t="s">
        <v>98</v>
      </c>
      <c r="U40" s="105">
        <v>81.75</v>
      </c>
      <c r="X40" s="109">
        <v>42744</v>
      </c>
      <c r="Y40" s="9">
        <v>73.95</v>
      </c>
      <c r="Z40" s="9">
        <v>74.05</v>
      </c>
      <c r="AA40" s="9">
        <v>73.040000000000006</v>
      </c>
      <c r="AB40" s="9">
        <v>73.09</v>
      </c>
      <c r="AC40" s="103">
        <v>1801900</v>
      </c>
      <c r="AD40" s="9">
        <v>72.75</v>
      </c>
      <c r="AE40" s="2">
        <f t="shared" si="0"/>
        <v>1.0099999999999909</v>
      </c>
      <c r="AF40" s="137">
        <f t="shared" si="1"/>
        <v>-1.436119766969246E-2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86.152500000000003</v>
      </c>
      <c r="Q41" s="2"/>
      <c r="T41" s="112" t="s">
        <v>99</v>
      </c>
      <c r="U41" s="105">
        <v>81.83</v>
      </c>
      <c r="X41" s="109">
        <v>42741</v>
      </c>
      <c r="Y41" s="9">
        <v>73.680000000000007</v>
      </c>
      <c r="Z41" s="9">
        <v>74.459999999999994</v>
      </c>
      <c r="AA41" s="9">
        <v>73.48</v>
      </c>
      <c r="AB41" s="9">
        <v>74.150000000000006</v>
      </c>
      <c r="AC41" s="103">
        <v>1614700</v>
      </c>
      <c r="AD41" s="9">
        <v>73.81</v>
      </c>
      <c r="AE41" s="2">
        <f t="shared" si="0"/>
        <v>0.97999999999998977</v>
      </c>
      <c r="AF41" s="137">
        <f t="shared" si="1"/>
        <v>1.6284434794409108E-3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85.331999999999994</v>
      </c>
      <c r="Q42" s="2"/>
      <c r="T42" s="112" t="s">
        <v>100</v>
      </c>
      <c r="U42" s="105" t="s">
        <v>129</v>
      </c>
      <c r="X42" s="109">
        <v>42740</v>
      </c>
      <c r="Y42" s="9">
        <v>74.180000000000007</v>
      </c>
      <c r="Z42" s="9">
        <v>74.44</v>
      </c>
      <c r="AA42" s="9">
        <v>73.8</v>
      </c>
      <c r="AB42" s="9">
        <v>74.03</v>
      </c>
      <c r="AC42" s="103">
        <v>1741800</v>
      </c>
      <c r="AD42" s="9">
        <v>73.69</v>
      </c>
      <c r="AE42" s="2">
        <f t="shared" si="0"/>
        <v>0.64000000000000057</v>
      </c>
      <c r="AF42" s="137">
        <f t="shared" si="1"/>
        <v>-4.5927326759421794E-3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84.511499999999998</v>
      </c>
      <c r="Q43" s="2"/>
      <c r="T43" s="112" t="s">
        <v>101</v>
      </c>
      <c r="U43" s="105" t="s">
        <v>129</v>
      </c>
      <c r="X43" s="109">
        <v>42739</v>
      </c>
      <c r="Y43" s="9">
        <v>74.38</v>
      </c>
      <c r="Z43" s="9">
        <v>74.95</v>
      </c>
      <c r="AA43" s="9">
        <v>74.209999999999994</v>
      </c>
      <c r="AB43" s="9">
        <v>74.37</v>
      </c>
      <c r="AC43" s="103">
        <v>1948400</v>
      </c>
      <c r="AD43" s="9">
        <v>74.03</v>
      </c>
      <c r="AE43" s="2">
        <f t="shared" si="0"/>
        <v>0.74000000000000909</v>
      </c>
      <c r="AF43" s="137">
        <f t="shared" si="1"/>
        <v>2.7089259108763475E-3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83.691000000000003</v>
      </c>
      <c r="Q44" s="2"/>
      <c r="T44" s="112" t="s">
        <v>102</v>
      </c>
      <c r="U44" s="105">
        <v>83.87</v>
      </c>
      <c r="X44" s="109">
        <v>42738</v>
      </c>
      <c r="Y44" s="9">
        <v>74</v>
      </c>
      <c r="Z44" s="9">
        <v>74.56</v>
      </c>
      <c r="AA44" s="9">
        <v>73.540000000000006</v>
      </c>
      <c r="AB44" s="9">
        <v>74.17</v>
      </c>
      <c r="AC44" s="103">
        <v>2019800</v>
      </c>
      <c r="AD44" s="9">
        <v>73.83</v>
      </c>
      <c r="AE44" s="2">
        <f t="shared" si="0"/>
        <v>1.019999999999996</v>
      </c>
      <c r="AF44" s="137">
        <f t="shared" si="1"/>
        <v>6.7769043101106874E-4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82.870499999999993</v>
      </c>
      <c r="Q45" s="2"/>
      <c r="T45" s="112" t="s">
        <v>103</v>
      </c>
      <c r="U45" s="105">
        <v>0.98439900000000002</v>
      </c>
      <c r="X45" s="109">
        <v>42734</v>
      </c>
      <c r="Y45" s="9">
        <v>74.540000000000006</v>
      </c>
      <c r="Z45" s="9">
        <v>74.56</v>
      </c>
      <c r="AA45" s="9">
        <v>73.930000000000007</v>
      </c>
      <c r="AB45" s="9">
        <v>74.12</v>
      </c>
      <c r="AC45" s="103">
        <v>1709600</v>
      </c>
      <c r="AD45" s="9">
        <v>73.78</v>
      </c>
      <c r="AE45" s="2">
        <f t="shared" si="0"/>
        <v>0.62999999999999545</v>
      </c>
      <c r="AF45" s="137">
        <f t="shared" si="1"/>
        <v>-2.1639166892074568E-3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82.05</v>
      </c>
      <c r="Q46" s="2"/>
      <c r="T46" s="112" t="s">
        <v>104</v>
      </c>
      <c r="U46" s="105" t="s">
        <v>444</v>
      </c>
      <c r="X46" s="109">
        <v>42733</v>
      </c>
      <c r="Y46" s="9">
        <v>74.38</v>
      </c>
      <c r="Z46" s="9">
        <v>74.569999999999993</v>
      </c>
      <c r="AA46" s="9">
        <v>74.2</v>
      </c>
      <c r="AB46" s="9">
        <v>74.28</v>
      </c>
      <c r="AC46" s="103">
        <v>1190100</v>
      </c>
      <c r="AD46" s="9">
        <v>73.94</v>
      </c>
      <c r="AE46" s="2">
        <f t="shared" si="0"/>
        <v>0.36999999999999034</v>
      </c>
      <c r="AF46" s="137">
        <f t="shared" si="1"/>
        <v>-9.4581813268490578E-4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81.229500000000002</v>
      </c>
      <c r="Q47" s="2"/>
      <c r="T47" s="112"/>
      <c r="U47" s="105"/>
      <c r="X47" s="109">
        <v>42732</v>
      </c>
      <c r="Y47" s="9">
        <v>74.66</v>
      </c>
      <c r="Z47" s="9">
        <v>74.7</v>
      </c>
      <c r="AA47" s="9">
        <v>74.209999999999994</v>
      </c>
      <c r="AB47" s="9">
        <v>74.349999999999994</v>
      </c>
      <c r="AC47" s="103">
        <v>1624700</v>
      </c>
      <c r="AD47" s="9">
        <v>74.010000000000005</v>
      </c>
      <c r="AE47" s="2">
        <f t="shared" si="0"/>
        <v>0.49000000000000909</v>
      </c>
      <c r="AF47" s="137">
        <f t="shared" si="1"/>
        <v>-2.1572064176890171E-3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80.408999999999992</v>
      </c>
      <c r="Q48" s="2"/>
      <c r="T48" s="112" t="s">
        <v>105</v>
      </c>
      <c r="U48" s="105" t="s">
        <v>695</v>
      </c>
      <c r="X48" s="109">
        <v>42731</v>
      </c>
      <c r="Y48" s="9">
        <v>74.58</v>
      </c>
      <c r="Z48" s="9">
        <v>74.650000000000006</v>
      </c>
      <c r="AA48" s="9">
        <v>74.31</v>
      </c>
      <c r="AB48" s="9">
        <v>74.510000000000005</v>
      </c>
      <c r="AC48" s="103">
        <v>1217600</v>
      </c>
      <c r="AD48" s="9">
        <v>74.17</v>
      </c>
      <c r="AE48" s="2">
        <f t="shared" si="0"/>
        <v>0.34000000000000341</v>
      </c>
      <c r="AF48" s="137">
        <f t="shared" si="1"/>
        <v>-9.4288793103436408E-4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79.588499999999996</v>
      </c>
      <c r="T49" s="112" t="s">
        <v>106</v>
      </c>
      <c r="U49" s="105" t="s">
        <v>575</v>
      </c>
      <c r="X49" s="109">
        <v>42727</v>
      </c>
      <c r="Y49" s="9">
        <v>74.48</v>
      </c>
      <c r="Z49" s="9">
        <v>74.77</v>
      </c>
      <c r="AA49" s="9">
        <v>74.319999999999993</v>
      </c>
      <c r="AB49" s="9">
        <v>74.58</v>
      </c>
      <c r="AC49" s="103">
        <v>1087600</v>
      </c>
      <c r="AD49" s="9">
        <v>74.239999999999995</v>
      </c>
      <c r="AE49" s="2">
        <f t="shared" si="0"/>
        <v>0.45000000000000284</v>
      </c>
      <c r="AF49" s="137">
        <f t="shared" si="1"/>
        <v>1.3487995683840737E-3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78.768000000000001</v>
      </c>
      <c r="T50" s="112" t="s">
        <v>107</v>
      </c>
      <c r="U50" s="106">
        <v>2331472</v>
      </c>
      <c r="X50" s="109">
        <v>42726</v>
      </c>
      <c r="Y50" s="9">
        <v>74.42</v>
      </c>
      <c r="Z50" s="9">
        <v>74.650000000000006</v>
      </c>
      <c r="AA50" s="9">
        <v>74.069999999999993</v>
      </c>
      <c r="AB50" s="9">
        <v>74.48</v>
      </c>
      <c r="AC50" s="103">
        <v>1716000</v>
      </c>
      <c r="AD50" s="9">
        <v>74.14</v>
      </c>
      <c r="AE50" s="2">
        <f t="shared" si="0"/>
        <v>0.58000000000001251</v>
      </c>
      <c r="AF50" s="137">
        <f t="shared" si="1"/>
        <v>5.3981106612699392E-4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77.947499999999991</v>
      </c>
      <c r="T51" s="112" t="s">
        <v>110</v>
      </c>
      <c r="U51" s="106">
        <v>1919820</v>
      </c>
      <c r="X51" s="109">
        <v>42725</v>
      </c>
      <c r="Y51" s="9">
        <v>74.48</v>
      </c>
      <c r="Z51" s="9">
        <v>74.66</v>
      </c>
      <c r="AA51" s="9">
        <v>74.31</v>
      </c>
      <c r="AB51" s="9">
        <v>74.44</v>
      </c>
      <c r="AC51" s="103">
        <v>1062500</v>
      </c>
      <c r="AD51" s="9">
        <v>74.099999999999994</v>
      </c>
      <c r="AE51" s="2">
        <f t="shared" si="0"/>
        <v>0.34999999999999432</v>
      </c>
      <c r="AF51" s="137">
        <f t="shared" si="1"/>
        <v>-5.395198273537849E-4</v>
      </c>
    </row>
    <row r="52" spans="1:32" x14ac:dyDescent="0.25">
      <c r="O52" s="82">
        <v>0.94</v>
      </c>
      <c r="P52" s="82">
        <f t="shared" si="3"/>
        <v>77.126999999999995</v>
      </c>
      <c r="T52" s="112" t="s">
        <v>108</v>
      </c>
      <c r="U52" s="105" t="s">
        <v>696</v>
      </c>
      <c r="X52" s="109">
        <v>42724</v>
      </c>
      <c r="Y52" s="9">
        <v>74.59</v>
      </c>
      <c r="Z52" s="9">
        <v>74.72</v>
      </c>
      <c r="AA52" s="9">
        <v>74.31</v>
      </c>
      <c r="AB52" s="9">
        <v>74.48</v>
      </c>
      <c r="AC52" s="103">
        <v>1669200</v>
      </c>
      <c r="AD52" s="9">
        <v>74.14</v>
      </c>
      <c r="AE52" s="2">
        <f t="shared" si="0"/>
        <v>0.40999999999999659</v>
      </c>
      <c r="AF52" s="137">
        <f t="shared" si="1"/>
        <v>1.4858841010401136E-3</v>
      </c>
    </row>
    <row r="53" spans="1:32" x14ac:dyDescent="0.25">
      <c r="O53" s="82">
        <v>0.93</v>
      </c>
      <c r="P53" s="82">
        <f t="shared" si="3"/>
        <v>76.3065</v>
      </c>
      <c r="T53" s="112" t="s">
        <v>111</v>
      </c>
      <c r="U53" s="105">
        <v>17.53</v>
      </c>
      <c r="X53" s="109">
        <v>42723</v>
      </c>
      <c r="Y53" s="9">
        <v>74.239999999999995</v>
      </c>
      <c r="Z53" s="9">
        <v>74.569999999999993</v>
      </c>
      <c r="AA53" s="9">
        <v>74.17</v>
      </c>
      <c r="AB53" s="9">
        <v>74.37</v>
      </c>
      <c r="AC53" s="103">
        <v>1876900</v>
      </c>
      <c r="AD53" s="9">
        <v>74.03</v>
      </c>
      <c r="AE53" s="2">
        <f t="shared" si="0"/>
        <v>0.39999999999999147</v>
      </c>
      <c r="AF53" s="137">
        <f t="shared" si="1"/>
        <v>3.5244679408974466E-3</v>
      </c>
    </row>
    <row r="54" spans="1:32" x14ac:dyDescent="0.25">
      <c r="O54" s="82">
        <v>0.92</v>
      </c>
      <c r="P54" s="82">
        <f t="shared" si="3"/>
        <v>75.486000000000004</v>
      </c>
      <c r="T54" s="112" t="s">
        <v>112</v>
      </c>
      <c r="U54" s="105">
        <v>4.67</v>
      </c>
      <c r="X54" s="109">
        <v>42720</v>
      </c>
      <c r="Y54" s="9">
        <v>73.78</v>
      </c>
      <c r="Z54" s="9">
        <v>74.16</v>
      </c>
      <c r="AA54" s="9">
        <v>73.540000000000006</v>
      </c>
      <c r="AB54" s="9">
        <v>74.11</v>
      </c>
      <c r="AC54" s="103">
        <v>3313400</v>
      </c>
      <c r="AD54" s="9">
        <v>73.77</v>
      </c>
      <c r="AE54" s="2">
        <f t="shared" si="0"/>
        <v>0.61999999999999034</v>
      </c>
      <c r="AF54" s="137">
        <f t="shared" si="1"/>
        <v>7.7868852459015425E-3</v>
      </c>
    </row>
    <row r="55" spans="1:32" x14ac:dyDescent="0.25">
      <c r="O55" s="82">
        <v>0.91</v>
      </c>
      <c r="P55" s="82">
        <f t="shared" si="3"/>
        <v>74.665499999999994</v>
      </c>
      <c r="T55" s="112" t="s">
        <v>109</v>
      </c>
      <c r="U55" s="105" t="s">
        <v>576</v>
      </c>
      <c r="X55" s="109">
        <v>42719</v>
      </c>
      <c r="Y55" s="9">
        <v>72.66</v>
      </c>
      <c r="Z55" s="9">
        <v>73.75</v>
      </c>
      <c r="AA55" s="9">
        <v>72.430000000000007</v>
      </c>
      <c r="AB55" s="9">
        <v>73.540000000000006</v>
      </c>
      <c r="AC55" s="103">
        <v>2080200</v>
      </c>
      <c r="AD55" s="9">
        <v>73.2</v>
      </c>
      <c r="AE55" s="2">
        <f t="shared" si="0"/>
        <v>1.3199999999999932</v>
      </c>
      <c r="AF55" s="137">
        <f t="shared" si="1"/>
        <v>1.272827891532935E-2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73.844999999999999</v>
      </c>
      <c r="X56" s="109">
        <v>42718</v>
      </c>
      <c r="Y56" s="9">
        <v>72.92</v>
      </c>
      <c r="Z56" s="9">
        <v>73.33</v>
      </c>
      <c r="AA56" s="9">
        <v>72.42</v>
      </c>
      <c r="AB56" s="9">
        <v>72.61</v>
      </c>
      <c r="AC56" s="103">
        <v>2195000</v>
      </c>
      <c r="AD56" s="9">
        <v>72.28</v>
      </c>
      <c r="AE56" s="2">
        <f t="shared" si="0"/>
        <v>0.90999999999999659</v>
      </c>
      <c r="AF56" s="137">
        <f t="shared" si="1"/>
        <v>-4.4077134986224564E-3</v>
      </c>
    </row>
    <row r="57" spans="1:32" x14ac:dyDescent="0.25">
      <c r="X57" s="109">
        <v>42717</v>
      </c>
      <c r="Y57" s="9">
        <v>72.650000000000006</v>
      </c>
      <c r="Z57" s="9">
        <v>73.13</v>
      </c>
      <c r="AA57" s="9">
        <v>72.540000000000006</v>
      </c>
      <c r="AB57" s="9">
        <v>72.930000000000007</v>
      </c>
      <c r="AC57" s="103">
        <v>2613300</v>
      </c>
      <c r="AD57" s="9">
        <v>72.599999999999994</v>
      </c>
      <c r="AE57" s="2">
        <f t="shared" si="0"/>
        <v>0.5899999999999892</v>
      </c>
      <c r="AF57" s="137">
        <f t="shared" si="1"/>
        <v>1.5174506828528056E-3</v>
      </c>
    </row>
    <row r="58" spans="1:32" x14ac:dyDescent="0.25">
      <c r="X58" s="109">
        <v>42716</v>
      </c>
      <c r="Y58" s="9">
        <v>72.44</v>
      </c>
      <c r="Z58" s="9">
        <v>72.95</v>
      </c>
      <c r="AA58" s="9">
        <v>72.3</v>
      </c>
      <c r="AB58" s="9">
        <v>72.819999999999993</v>
      </c>
      <c r="AC58" s="103">
        <v>1982100</v>
      </c>
      <c r="AD58" s="9">
        <v>72.489999999999995</v>
      </c>
      <c r="AE58" s="2">
        <f t="shared" si="0"/>
        <v>0.65000000000000568</v>
      </c>
      <c r="AF58" s="137">
        <f t="shared" si="1"/>
        <v>4.8516772941502584E-3</v>
      </c>
    </row>
    <row r="59" spans="1:32" x14ac:dyDescent="0.25">
      <c r="X59" s="109">
        <v>42713</v>
      </c>
      <c r="Y59" s="9">
        <v>71.77</v>
      </c>
      <c r="Z59" s="9">
        <v>72.5</v>
      </c>
      <c r="AA59" s="9">
        <v>71.510000000000005</v>
      </c>
      <c r="AB59" s="9">
        <v>72.47</v>
      </c>
      <c r="AC59" s="103">
        <v>2168600</v>
      </c>
      <c r="AD59" s="9">
        <v>72.14</v>
      </c>
      <c r="AE59" s="2">
        <f t="shared" si="0"/>
        <v>0.98999999999999488</v>
      </c>
      <c r="AF59" s="137">
        <f t="shared" si="1"/>
        <v>1.1213905242500655E-2</v>
      </c>
    </row>
    <row r="60" spans="1:32" x14ac:dyDescent="0.25">
      <c r="X60" s="109">
        <v>42712</v>
      </c>
      <c r="Y60" s="9">
        <v>71.77</v>
      </c>
      <c r="Z60" s="9">
        <v>71.98</v>
      </c>
      <c r="AA60" s="9">
        <v>71.17</v>
      </c>
      <c r="AB60" s="9">
        <v>71.67</v>
      </c>
      <c r="AC60" s="103">
        <v>1986100</v>
      </c>
      <c r="AD60" s="9">
        <v>71.34</v>
      </c>
      <c r="AE60" s="2">
        <f t="shared" si="0"/>
        <v>0.81000000000000227</v>
      </c>
      <c r="AF60" s="137">
        <f t="shared" si="1"/>
        <v>2.8042624789703652E-4</v>
      </c>
    </row>
    <row r="61" spans="1:32" x14ac:dyDescent="0.25">
      <c r="X61" s="109">
        <v>42711</v>
      </c>
      <c r="Y61" s="9">
        <v>71.13</v>
      </c>
      <c r="Z61" s="9">
        <v>71.75</v>
      </c>
      <c r="AA61" s="9">
        <v>70.73</v>
      </c>
      <c r="AB61" s="9">
        <v>71.650000000000006</v>
      </c>
      <c r="AC61" s="103">
        <v>1827400</v>
      </c>
      <c r="AD61" s="9">
        <v>71.319999999999993</v>
      </c>
      <c r="AE61" s="2">
        <f t="shared" si="0"/>
        <v>1.019999999999996</v>
      </c>
      <c r="AF61" s="137">
        <f t="shared" si="1"/>
        <v>9.9122061738883271E-3</v>
      </c>
    </row>
    <row r="62" spans="1:32" x14ac:dyDescent="0.25">
      <c r="X62" s="109">
        <v>42710</v>
      </c>
      <c r="Y62" s="9">
        <v>70.58</v>
      </c>
      <c r="Z62" s="9">
        <v>70.97</v>
      </c>
      <c r="AA62" s="9">
        <v>70.45</v>
      </c>
      <c r="AB62" s="9">
        <v>70.95</v>
      </c>
      <c r="AC62" s="103">
        <v>2285600</v>
      </c>
      <c r="AD62" s="9">
        <v>70.62</v>
      </c>
      <c r="AE62" s="2">
        <f t="shared" si="0"/>
        <v>0.51999999999999602</v>
      </c>
      <c r="AF62" s="137">
        <f t="shared" si="1"/>
        <v>8.2809822958309631E-3</v>
      </c>
    </row>
    <row r="63" spans="1:32" x14ac:dyDescent="0.25">
      <c r="X63" s="109">
        <v>42709</v>
      </c>
      <c r="Y63" s="9">
        <v>70.84</v>
      </c>
      <c r="Z63" s="9">
        <v>70.95</v>
      </c>
      <c r="AA63" s="9">
        <v>70.22</v>
      </c>
      <c r="AB63" s="9">
        <v>70.36</v>
      </c>
      <c r="AC63" s="103">
        <v>2771600</v>
      </c>
      <c r="AD63" s="9">
        <v>70.040000000000006</v>
      </c>
      <c r="AE63" s="2">
        <f t="shared" si="0"/>
        <v>0.73000000000000398</v>
      </c>
      <c r="AF63" s="137">
        <f t="shared" si="1"/>
        <v>-3.5566936975387486E-3</v>
      </c>
    </row>
    <row r="64" spans="1:32" x14ac:dyDescent="0.25">
      <c r="X64" s="109">
        <v>42706</v>
      </c>
      <c r="Y64" s="9">
        <v>70.430000000000007</v>
      </c>
      <c r="Z64" s="9">
        <v>70.78</v>
      </c>
      <c r="AA64" s="9">
        <v>70.260000000000005</v>
      </c>
      <c r="AB64" s="9">
        <v>70.61</v>
      </c>
      <c r="AC64" s="103">
        <v>1903300</v>
      </c>
      <c r="AD64" s="9">
        <v>70.290000000000006</v>
      </c>
      <c r="AE64" s="2">
        <f t="shared" si="0"/>
        <v>0.51999999999999602</v>
      </c>
      <c r="AF64" s="137">
        <f t="shared" si="1"/>
        <v>3.7126945594745386E-3</v>
      </c>
    </row>
    <row r="65" spans="24:32" x14ac:dyDescent="0.25">
      <c r="X65" s="109">
        <v>42705</v>
      </c>
      <c r="Y65" s="9">
        <v>69.95</v>
      </c>
      <c r="Z65" s="9">
        <v>70.38</v>
      </c>
      <c r="AA65" s="9">
        <v>69.760000000000005</v>
      </c>
      <c r="AB65" s="9">
        <v>70.349999999999994</v>
      </c>
      <c r="AC65" s="103">
        <v>2329000</v>
      </c>
      <c r="AD65" s="9">
        <v>70.03</v>
      </c>
      <c r="AE65" s="2">
        <f t="shared" si="0"/>
        <v>0.61999999999999034</v>
      </c>
      <c r="AF65" s="137">
        <f t="shared" si="1"/>
        <v>6.1781609195403764E-3</v>
      </c>
    </row>
    <row r="66" spans="24:32" x14ac:dyDescent="0.25">
      <c r="X66" s="109">
        <v>42704</v>
      </c>
      <c r="Y66" s="9">
        <v>70.08</v>
      </c>
      <c r="Z66" s="9">
        <v>70.58</v>
      </c>
      <c r="AA66" s="9">
        <v>69.48</v>
      </c>
      <c r="AB66" s="9">
        <v>69.92</v>
      </c>
      <c r="AC66" s="103">
        <v>5911900</v>
      </c>
      <c r="AD66" s="9">
        <v>69.599999999999994</v>
      </c>
      <c r="AE66" s="2">
        <f t="shared" si="0"/>
        <v>1.0999999999999943</v>
      </c>
      <c r="AF66" s="137">
        <f t="shared" si="1"/>
        <v>4.1841004184099972E-3</v>
      </c>
    </row>
    <row r="67" spans="24:32" x14ac:dyDescent="0.25">
      <c r="X67" s="109">
        <v>42703</v>
      </c>
      <c r="Y67" s="9">
        <v>71.290000000000006</v>
      </c>
      <c r="Z67" s="9">
        <v>71.64</v>
      </c>
      <c r="AA67" s="9">
        <v>69.040000000000006</v>
      </c>
      <c r="AB67" s="9">
        <v>69.63</v>
      </c>
      <c r="AC67" s="103">
        <v>6665400</v>
      </c>
      <c r="AD67" s="9">
        <v>69.31</v>
      </c>
      <c r="AE67" s="2">
        <f>Z67-AA67</f>
        <v>2.5999999999999943</v>
      </c>
      <c r="AF67" s="137" t="e">
        <f>AD67/#REF!-1</f>
        <v>#REF!</v>
      </c>
    </row>
    <row r="68" spans="24:32" x14ac:dyDescent="0.25">
      <c r="X68" s="109">
        <v>42702</v>
      </c>
      <c r="Y68" s="9">
        <v>71.98</v>
      </c>
      <c r="Z68" s="9">
        <v>72.22</v>
      </c>
      <c r="AA68" s="9">
        <v>71.88</v>
      </c>
      <c r="AB68" s="9">
        <v>72.040000000000006</v>
      </c>
      <c r="AC68" s="103">
        <v>2040800</v>
      </c>
      <c r="AD68" s="9">
        <v>71.709999999999994</v>
      </c>
      <c r="AE68" s="2" t="e">
        <f>#REF!-#REF!</f>
        <v>#REF!</v>
      </c>
      <c r="AF68" s="137" t="e">
        <f>#REF!/AD70-1</f>
        <v>#REF!</v>
      </c>
    </row>
    <row r="69" spans="24:32" x14ac:dyDescent="0.25">
      <c r="X69" s="109">
        <v>42702</v>
      </c>
      <c r="Y69" s="9" t="s">
        <v>222</v>
      </c>
      <c r="Z69" s="9"/>
      <c r="AA69" s="9"/>
      <c r="AB69" s="9"/>
      <c r="AC69" s="103"/>
      <c r="AD69" s="9"/>
      <c r="AE69" s="2">
        <f>Z70-AA70</f>
        <v>0</v>
      </c>
      <c r="AF69" s="137" t="e">
        <f>AD70/AD71-1</f>
        <v>#DIV/0!</v>
      </c>
    </row>
    <row r="70" spans="24:32" x14ac:dyDescent="0.25">
      <c r="X70" s="109" t="s">
        <v>121</v>
      </c>
      <c r="Y70" s="9"/>
      <c r="Z70" s="9"/>
      <c r="AA70" s="9"/>
      <c r="AB70" s="9"/>
      <c r="AC70" s="103"/>
      <c r="AD70" s="9"/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67" priority="19">
      <formula>F27&gt;0</formula>
    </cfRule>
    <cfRule type="expression" dxfId="266" priority="20">
      <formula>F27&lt;0</formula>
    </cfRule>
  </conditionalFormatting>
  <conditionalFormatting sqref="F37:F38">
    <cfRule type="expression" dxfId="265" priority="17">
      <formula>F37&gt;0</formula>
    </cfRule>
    <cfRule type="expression" dxfId="264" priority="18">
      <formula>F37&lt;0</formula>
    </cfRule>
  </conditionalFormatting>
  <conditionalFormatting sqref="H27:H32">
    <cfRule type="expression" dxfId="263" priority="15">
      <formula>H27&gt;0</formula>
    </cfRule>
    <cfRule type="expression" dxfId="262" priority="16">
      <formula>H27&lt;0</formula>
    </cfRule>
  </conditionalFormatting>
  <conditionalFormatting sqref="Q7">
    <cfRule type="expression" dxfId="261" priority="3">
      <formula>Q7&gt;0</formula>
    </cfRule>
    <cfRule type="expression" dxfId="260" priority="4">
      <formula>Q7&lt;0</formula>
    </cfRule>
  </conditionalFormatting>
  <conditionalFormatting sqref="Q8">
    <cfRule type="expression" dxfId="259" priority="1">
      <formula>Q8&gt;0</formula>
    </cfRule>
    <cfRule type="expression" dxfId="25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5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4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6">
        <v>42797</v>
      </c>
      <c r="X2" s="40">
        <v>121.93</v>
      </c>
      <c r="Y2" s="40">
        <v>122.51</v>
      </c>
      <c r="Z2" s="40">
        <v>120.83</v>
      </c>
      <c r="AA2" s="40">
        <v>122.4</v>
      </c>
      <c r="AB2" s="94">
        <v>1790000</v>
      </c>
      <c r="AC2" s="40">
        <v>122.4</v>
      </c>
      <c r="AD2" s="2">
        <f>Y2-Z2</f>
        <v>1.6800000000000068</v>
      </c>
      <c r="AE2" s="137">
        <f>AC2/AC3-1</f>
        <v>5.1736881005175483E-3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3"/>
      <c r="O3" s="11" t="s">
        <v>58</v>
      </c>
      <c r="Q3" s="2">
        <f>IF(Q2=0, Q4, (F18-K18-M18)/Q2)</f>
        <v>119.66</v>
      </c>
      <c r="W3" s="156">
        <v>42796</v>
      </c>
      <c r="X3" s="40">
        <v>123.23</v>
      </c>
      <c r="Y3" s="40">
        <v>123.28</v>
      </c>
      <c r="Z3" s="40">
        <v>121.7</v>
      </c>
      <c r="AA3" s="40">
        <v>121.77</v>
      </c>
      <c r="AB3" s="94">
        <v>1106200</v>
      </c>
      <c r="AC3" s="40">
        <v>121.77</v>
      </c>
      <c r="AD3" s="2">
        <f t="shared" ref="AD3:AD66" si="0">Y3-Z3</f>
        <v>1.5799999999999983</v>
      </c>
      <c r="AE3" s="137">
        <f t="shared" ref="AE3:AE66" si="1">AC3/AC4-1</f>
        <v>-1.2809079854073757E-2</v>
      </c>
    </row>
    <row r="4" spans="1:31" x14ac:dyDescent="0.25">
      <c r="B4" s="73"/>
      <c r="C4" s="4"/>
      <c r="D4" s="3"/>
      <c r="E4" s="3"/>
      <c r="F4" s="3"/>
      <c r="G4" s="4"/>
      <c r="H4" s="184"/>
      <c r="I4" s="4"/>
      <c r="J4" s="4"/>
      <c r="K4" s="4"/>
      <c r="L4" s="4"/>
      <c r="M4" s="3"/>
      <c r="O4" s="11" t="s">
        <v>66</v>
      </c>
      <c r="Q4" s="55">
        <v>119.66</v>
      </c>
      <c r="R4" s="499">
        <v>2.2000000000000001E-3</v>
      </c>
      <c r="W4" s="156">
        <v>42795</v>
      </c>
      <c r="X4" s="40">
        <v>122.2</v>
      </c>
      <c r="Y4" s="40">
        <v>124.5</v>
      </c>
      <c r="Z4" s="40">
        <v>121.81</v>
      </c>
      <c r="AA4" s="40">
        <v>123.35</v>
      </c>
      <c r="AB4" s="94">
        <v>1580700</v>
      </c>
      <c r="AC4" s="40">
        <v>123.35</v>
      </c>
      <c r="AD4" s="2">
        <f t="shared" si="0"/>
        <v>2.6899999999999977</v>
      </c>
      <c r="AE4" s="137">
        <f t="shared" si="1"/>
        <v>1.916880112368835E-2</v>
      </c>
    </row>
    <row r="5" spans="1:31" x14ac:dyDescent="0.25">
      <c r="B5" s="73"/>
      <c r="C5" s="4"/>
      <c r="D5" s="3"/>
      <c r="E5" s="3"/>
      <c r="F5" s="3"/>
      <c r="G5" s="4"/>
      <c r="H5" s="184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6">
        <v>42794</v>
      </c>
      <c r="X5" s="40">
        <v>121.26</v>
      </c>
      <c r="Y5" s="40">
        <v>122.19</v>
      </c>
      <c r="Z5" s="40">
        <v>120.58</v>
      </c>
      <c r="AA5" s="40">
        <v>121.03</v>
      </c>
      <c r="AB5" s="94">
        <v>1302400</v>
      </c>
      <c r="AC5" s="40">
        <v>121.03</v>
      </c>
      <c r="AD5" s="2">
        <f t="shared" si="0"/>
        <v>1.6099999999999994</v>
      </c>
      <c r="AE5" s="137">
        <f t="shared" si="1"/>
        <v>-7.43064729194165E-4</v>
      </c>
    </row>
    <row r="6" spans="1:31" x14ac:dyDescent="0.25">
      <c r="B6" s="73"/>
      <c r="C6" s="4"/>
      <c r="D6" s="3"/>
      <c r="E6" s="3"/>
      <c r="F6" s="3"/>
      <c r="G6" s="4"/>
      <c r="H6" s="184"/>
      <c r="I6" s="4"/>
      <c r="J6" s="4"/>
      <c r="K6" s="4"/>
      <c r="L6" s="4"/>
      <c r="M6" s="4"/>
      <c r="O6" s="11" t="s">
        <v>64</v>
      </c>
      <c r="Q6" s="2">
        <f>Q3*Q2</f>
        <v>0</v>
      </c>
      <c r="W6" s="156">
        <v>42793</v>
      </c>
      <c r="X6" s="40">
        <v>120.2</v>
      </c>
      <c r="Y6" s="40">
        <v>121.22</v>
      </c>
      <c r="Z6" s="40">
        <v>118.93</v>
      </c>
      <c r="AA6" s="40">
        <v>121.12</v>
      </c>
      <c r="AB6" s="94">
        <v>1863400</v>
      </c>
      <c r="AC6" s="40">
        <v>121.12</v>
      </c>
      <c r="AD6" s="2">
        <f t="shared" si="0"/>
        <v>2.289999999999992</v>
      </c>
      <c r="AE6" s="137">
        <f t="shared" si="1"/>
        <v>8.6608927381746081E-3</v>
      </c>
    </row>
    <row r="7" spans="1:31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6">
        <v>42790</v>
      </c>
      <c r="X7" s="40">
        <v>119</v>
      </c>
      <c r="Y7" s="40">
        <v>120.1</v>
      </c>
      <c r="Z7" s="40">
        <v>118.65</v>
      </c>
      <c r="AA7" s="40">
        <v>120.08</v>
      </c>
      <c r="AB7" s="94">
        <v>2153000</v>
      </c>
      <c r="AC7" s="40">
        <v>120.08</v>
      </c>
      <c r="AD7" s="2">
        <f t="shared" si="0"/>
        <v>1.4499999999999886</v>
      </c>
      <c r="AE7" s="137">
        <f t="shared" si="1"/>
        <v>4.1656252603505806E-4</v>
      </c>
    </row>
    <row r="8" spans="1:31" x14ac:dyDescent="0.25">
      <c r="B8" s="4"/>
      <c r="C8" s="4"/>
      <c r="D8" s="3"/>
      <c r="E8" s="3"/>
      <c r="F8" s="3"/>
      <c r="G8" s="4"/>
      <c r="H8" s="18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6">
        <v>42789</v>
      </c>
      <c r="X8" s="40">
        <v>122.99</v>
      </c>
      <c r="Y8" s="40">
        <v>123.05</v>
      </c>
      <c r="Z8" s="40">
        <v>119.16</v>
      </c>
      <c r="AA8" s="40">
        <v>120.03</v>
      </c>
      <c r="AB8" s="94">
        <v>2376400</v>
      </c>
      <c r="AC8" s="40">
        <v>120.03</v>
      </c>
      <c r="AD8" s="2">
        <f t="shared" si="0"/>
        <v>3.8900000000000006</v>
      </c>
      <c r="AE8" s="137">
        <f t="shared" si="1"/>
        <v>-1.8721386527141837E-2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56">
        <v>42788</v>
      </c>
      <c r="X9" s="40">
        <v>122.86</v>
      </c>
      <c r="Y9" s="40">
        <v>123.09</v>
      </c>
      <c r="Z9" s="40">
        <v>121.9</v>
      </c>
      <c r="AA9" s="40">
        <v>122.32</v>
      </c>
      <c r="AB9" s="94">
        <v>1729100</v>
      </c>
      <c r="AC9" s="40">
        <v>122.32</v>
      </c>
      <c r="AD9" s="2">
        <f t="shared" si="0"/>
        <v>1.1899999999999977</v>
      </c>
      <c r="AE9" s="137">
        <f t="shared" si="1"/>
        <v>-9.7951914514693428E-3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6">
        <v>42787</v>
      </c>
      <c r="X10" s="40">
        <v>123.09</v>
      </c>
      <c r="Y10" s="40">
        <v>125</v>
      </c>
      <c r="Z10" s="40">
        <v>122.81</v>
      </c>
      <c r="AA10" s="40">
        <v>123.53</v>
      </c>
      <c r="AB10" s="94">
        <v>1382500</v>
      </c>
      <c r="AC10" s="40">
        <v>123.53</v>
      </c>
      <c r="AD10" s="2">
        <f t="shared" si="0"/>
        <v>2.1899999999999977</v>
      </c>
      <c r="AE10" s="137">
        <f t="shared" si="1"/>
        <v>6.1084867242222618E-3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0.02</v>
      </c>
      <c r="W11" s="156">
        <v>42783</v>
      </c>
      <c r="X11" s="40">
        <v>122.64</v>
      </c>
      <c r="Y11" s="40">
        <v>123.18</v>
      </c>
      <c r="Z11" s="40">
        <v>121.77</v>
      </c>
      <c r="AA11" s="40">
        <v>122.78</v>
      </c>
      <c r="AB11" s="94">
        <v>1265100</v>
      </c>
      <c r="AC11" s="40">
        <v>122.78</v>
      </c>
      <c r="AD11" s="2">
        <f t="shared" si="0"/>
        <v>1.4100000000000108</v>
      </c>
      <c r="AE11" s="137">
        <f t="shared" si="1"/>
        <v>-1.2202066216546736E-3</v>
      </c>
    </row>
    <row r="12" spans="1:31" x14ac:dyDescent="0.25">
      <c r="W12" s="156">
        <v>42782</v>
      </c>
      <c r="X12" s="40">
        <v>122.63</v>
      </c>
      <c r="Y12" s="40">
        <v>123.32</v>
      </c>
      <c r="Z12" s="40">
        <v>121.72</v>
      </c>
      <c r="AA12" s="40">
        <v>122.93</v>
      </c>
      <c r="AB12" s="94">
        <v>1482100</v>
      </c>
      <c r="AC12" s="40">
        <v>122.93</v>
      </c>
      <c r="AD12" s="2">
        <f t="shared" si="0"/>
        <v>1.5999999999999943</v>
      </c>
      <c r="AE12" s="137">
        <f t="shared" si="1"/>
        <v>1.7928449189146267E-3</v>
      </c>
    </row>
    <row r="13" spans="1:31" x14ac:dyDescent="0.25">
      <c r="W13" s="156">
        <v>42781</v>
      </c>
      <c r="X13" s="40">
        <v>122.44</v>
      </c>
      <c r="Y13" s="40">
        <v>123.42</v>
      </c>
      <c r="Z13" s="40">
        <v>121.16</v>
      </c>
      <c r="AA13" s="40">
        <v>122.71</v>
      </c>
      <c r="AB13" s="94">
        <v>2279000</v>
      </c>
      <c r="AC13" s="40">
        <v>122.71</v>
      </c>
      <c r="AD13" s="2">
        <f t="shared" si="0"/>
        <v>2.2600000000000051</v>
      </c>
      <c r="AE13" s="137">
        <f t="shared" si="1"/>
        <v>1.7960649848967059E-3</v>
      </c>
    </row>
    <row r="14" spans="1:31" x14ac:dyDescent="0.25">
      <c r="W14" s="156">
        <v>42780</v>
      </c>
      <c r="X14" s="40">
        <v>121.83</v>
      </c>
      <c r="Y14" s="40">
        <v>123</v>
      </c>
      <c r="Z14" s="40">
        <v>121.62</v>
      </c>
      <c r="AA14" s="40">
        <v>122.49</v>
      </c>
      <c r="AB14" s="94">
        <v>1326200</v>
      </c>
      <c r="AC14" s="40">
        <v>122.49</v>
      </c>
      <c r="AD14" s="2">
        <f t="shared" si="0"/>
        <v>1.3799999999999955</v>
      </c>
      <c r="AE14" s="137">
        <f t="shared" si="1"/>
        <v>2.2911382047294815E-3</v>
      </c>
    </row>
    <row r="15" spans="1:31" x14ac:dyDescent="0.25">
      <c r="W15" s="156">
        <v>42779</v>
      </c>
      <c r="X15" s="40">
        <v>121.33</v>
      </c>
      <c r="Y15" s="40">
        <v>123.3</v>
      </c>
      <c r="Z15" s="40">
        <v>121.17</v>
      </c>
      <c r="AA15" s="40">
        <v>122.21</v>
      </c>
      <c r="AB15" s="94">
        <v>1565000</v>
      </c>
      <c r="AC15" s="40">
        <v>122.21</v>
      </c>
      <c r="AD15" s="2">
        <f t="shared" si="0"/>
        <v>2.1299999999999955</v>
      </c>
      <c r="AE15" s="137">
        <f t="shared" si="1"/>
        <v>8.9993394980183439E-3</v>
      </c>
    </row>
    <row r="16" spans="1:31" x14ac:dyDescent="0.25">
      <c r="W16" s="156">
        <v>42776</v>
      </c>
      <c r="X16" s="40">
        <v>121</v>
      </c>
      <c r="Y16" s="40">
        <v>121.75</v>
      </c>
      <c r="Z16" s="40">
        <v>119.95</v>
      </c>
      <c r="AA16" s="40">
        <v>121.12</v>
      </c>
      <c r="AB16" s="94">
        <v>1929900</v>
      </c>
      <c r="AC16" s="40">
        <v>121.12</v>
      </c>
      <c r="AD16" s="2">
        <f t="shared" si="0"/>
        <v>1.7999999999999972</v>
      </c>
      <c r="AE16" s="137">
        <f t="shared" si="1"/>
        <v>3.8955656858681298E-3</v>
      </c>
    </row>
    <row r="17" spans="1:31" x14ac:dyDescent="0.25">
      <c r="W17" s="156">
        <v>42775</v>
      </c>
      <c r="X17" s="40">
        <v>120.94</v>
      </c>
      <c r="Y17" s="40">
        <v>121.99</v>
      </c>
      <c r="Z17" s="40">
        <v>120.51</v>
      </c>
      <c r="AA17" s="40">
        <v>120.65</v>
      </c>
      <c r="AB17" s="94">
        <v>1817400</v>
      </c>
      <c r="AC17" s="40">
        <v>120.65</v>
      </c>
      <c r="AD17" s="2">
        <f t="shared" si="0"/>
        <v>1.4799999999999898</v>
      </c>
      <c r="AE17" s="137">
        <f t="shared" si="1"/>
        <v>-2.3978832478914747E-3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6">
        <v>42774</v>
      </c>
      <c r="X18" s="40">
        <v>120.46</v>
      </c>
      <c r="Y18" s="40">
        <v>121.1</v>
      </c>
      <c r="Z18" s="40">
        <v>119.09</v>
      </c>
      <c r="AA18" s="40">
        <v>120.94</v>
      </c>
      <c r="AB18" s="94">
        <v>1440800</v>
      </c>
      <c r="AC18" s="40">
        <v>120.94</v>
      </c>
      <c r="AD18" s="2">
        <f t="shared" si="0"/>
        <v>2.0099999999999909</v>
      </c>
      <c r="AE18" s="137">
        <f t="shared" si="1"/>
        <v>4.9636002647246436E-4</v>
      </c>
    </row>
    <row r="19" spans="1:31" x14ac:dyDescent="0.25">
      <c r="W19" s="156">
        <v>42773</v>
      </c>
      <c r="X19" s="40">
        <v>120.16</v>
      </c>
      <c r="Y19" s="40">
        <v>122.5</v>
      </c>
      <c r="Z19" s="40">
        <v>120</v>
      </c>
      <c r="AA19" s="40">
        <v>120.88</v>
      </c>
      <c r="AB19" s="94">
        <v>2004300</v>
      </c>
      <c r="AC19" s="40">
        <v>120.88</v>
      </c>
      <c r="AD19" s="2">
        <f t="shared" si="0"/>
        <v>2.5</v>
      </c>
      <c r="AE19" s="137">
        <f t="shared" si="1"/>
        <v>8.4257946108283743E-3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156">
        <v>42772</v>
      </c>
      <c r="X20" s="40">
        <v>120.13</v>
      </c>
      <c r="Y20" s="40">
        <v>120.74</v>
      </c>
      <c r="Z20" s="40">
        <v>118.6</v>
      </c>
      <c r="AA20" s="40">
        <v>119.87</v>
      </c>
      <c r="AB20" s="94">
        <v>2205800</v>
      </c>
      <c r="AC20" s="40">
        <v>119.87</v>
      </c>
      <c r="AD20" s="2">
        <f t="shared" si="0"/>
        <v>2.1400000000000006</v>
      </c>
      <c r="AE20" s="137">
        <f t="shared" si="1"/>
        <v>-4.897891416237643E-3</v>
      </c>
    </row>
    <row r="21" spans="1:31" x14ac:dyDescent="0.25">
      <c r="B21" s="192">
        <v>42304</v>
      </c>
      <c r="C21" s="10">
        <v>75</v>
      </c>
      <c r="D21" s="201">
        <v>82.82</v>
      </c>
      <c r="E21" s="40">
        <v>77.44</v>
      </c>
      <c r="F21" s="40">
        <v>-403.4</v>
      </c>
      <c r="G21" s="40"/>
      <c r="H21" s="230"/>
      <c r="I21" s="40"/>
      <c r="W21" s="156">
        <v>42769</v>
      </c>
      <c r="X21" s="40">
        <v>119.82</v>
      </c>
      <c r="Y21" s="40">
        <v>121.22</v>
      </c>
      <c r="Z21" s="40">
        <v>118.94</v>
      </c>
      <c r="AA21" s="40">
        <v>120.46</v>
      </c>
      <c r="AB21" s="94">
        <v>1683900</v>
      </c>
      <c r="AC21" s="40">
        <v>120.46</v>
      </c>
      <c r="AD21" s="2">
        <f t="shared" si="0"/>
        <v>2.2800000000000011</v>
      </c>
      <c r="AE21" s="137">
        <f t="shared" si="1"/>
        <v>8.28659914622909E-3</v>
      </c>
    </row>
    <row r="22" spans="1:31" x14ac:dyDescent="0.25">
      <c r="B22" s="192">
        <v>42305</v>
      </c>
      <c r="C22" s="10">
        <v>0</v>
      </c>
      <c r="D22" s="201" t="s">
        <v>129</v>
      </c>
      <c r="E22" s="40">
        <v>81.599999999999994</v>
      </c>
      <c r="F22" s="40">
        <v>-169.71000000000095</v>
      </c>
      <c r="G22" s="40"/>
      <c r="H22" s="230"/>
      <c r="I22" s="40"/>
      <c r="W22" s="156">
        <v>42768</v>
      </c>
      <c r="X22" s="40">
        <v>119.12</v>
      </c>
      <c r="Y22" s="40">
        <v>120</v>
      </c>
      <c r="Z22" s="40">
        <v>117.61</v>
      </c>
      <c r="AA22" s="40">
        <v>119.47</v>
      </c>
      <c r="AB22" s="94">
        <v>2305300</v>
      </c>
      <c r="AC22" s="40">
        <v>119.47</v>
      </c>
      <c r="AD22" s="2">
        <f t="shared" si="0"/>
        <v>2.3900000000000006</v>
      </c>
      <c r="AE22" s="137">
        <f t="shared" si="1"/>
        <v>-3.8355707496040559E-3</v>
      </c>
    </row>
    <row r="23" spans="1:31" x14ac:dyDescent="0.25">
      <c r="B23" s="192">
        <v>42331</v>
      </c>
      <c r="C23" s="10">
        <v>0</v>
      </c>
      <c r="D23" s="201" t="s">
        <v>129</v>
      </c>
      <c r="E23" s="40">
        <v>95.56</v>
      </c>
      <c r="F23" s="40">
        <v>-168.62</v>
      </c>
      <c r="G23" s="40"/>
      <c r="H23" s="230"/>
      <c r="I23" s="40" t="s">
        <v>188</v>
      </c>
      <c r="W23" s="156">
        <v>42767</v>
      </c>
      <c r="X23" s="40">
        <v>117.37</v>
      </c>
      <c r="Y23" s="40">
        <v>120</v>
      </c>
      <c r="Z23" s="40">
        <v>117.25</v>
      </c>
      <c r="AA23" s="40">
        <v>119.93</v>
      </c>
      <c r="AB23" s="94">
        <v>2913800</v>
      </c>
      <c r="AC23" s="40">
        <v>119.93</v>
      </c>
      <c r="AD23" s="2">
        <f t="shared" si="0"/>
        <v>2.75</v>
      </c>
      <c r="AE23" s="137" t="e">
        <f t="shared" si="1"/>
        <v>#DIV/0!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56">
        <v>42767</v>
      </c>
      <c r="X24" s="40" t="s">
        <v>438</v>
      </c>
      <c r="Y24" s="40"/>
      <c r="Z24" s="40"/>
      <c r="AA24" s="40"/>
      <c r="AB24" s="94"/>
      <c r="AC24" s="40"/>
      <c r="AD24" s="2">
        <f t="shared" si="0"/>
        <v>0</v>
      </c>
      <c r="AE24" s="137">
        <f t="shared" si="1"/>
        <v>-1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56">
        <v>42766</v>
      </c>
      <c r="X25" s="40">
        <v>119.44</v>
      </c>
      <c r="Y25" s="40">
        <v>119.75</v>
      </c>
      <c r="Z25" s="40">
        <v>117.11</v>
      </c>
      <c r="AA25" s="40">
        <v>117.46</v>
      </c>
      <c r="AB25" s="94">
        <v>3474900</v>
      </c>
      <c r="AC25" s="40">
        <v>116.85</v>
      </c>
      <c r="AD25" s="2">
        <f t="shared" si="0"/>
        <v>2.6400000000000006</v>
      </c>
      <c r="AE25" s="137">
        <f t="shared" si="1"/>
        <v>-1.8149735316360105E-2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56">
        <v>42765</v>
      </c>
      <c r="X26" s="40">
        <v>119.27</v>
      </c>
      <c r="Y26" s="40">
        <v>120.1</v>
      </c>
      <c r="Z26" s="40">
        <v>117.57</v>
      </c>
      <c r="AA26" s="40">
        <v>119.63</v>
      </c>
      <c r="AB26" s="94">
        <v>2510300</v>
      </c>
      <c r="AC26" s="40">
        <v>119.01</v>
      </c>
      <c r="AD26" s="2">
        <f t="shared" si="0"/>
        <v>2.5300000000000011</v>
      </c>
      <c r="AE26" s="137">
        <f t="shared" si="1"/>
        <v>-5.9305045105244591E-3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56">
        <v>42762</v>
      </c>
      <c r="X27" s="40">
        <v>120.18</v>
      </c>
      <c r="Y27" s="40">
        <v>120.62</v>
      </c>
      <c r="Z27" s="40">
        <v>118.95</v>
      </c>
      <c r="AA27" s="40">
        <v>120.35</v>
      </c>
      <c r="AB27" s="94">
        <v>2190000</v>
      </c>
      <c r="AC27" s="40">
        <v>119.72</v>
      </c>
      <c r="AD27" s="2">
        <f t="shared" si="0"/>
        <v>1.6700000000000017</v>
      </c>
      <c r="AE27" s="137">
        <f t="shared" si="1"/>
        <v>6.9812431659517227E-3</v>
      </c>
    </row>
    <row r="28" spans="1:31" x14ac:dyDescent="0.25">
      <c r="W28" s="156">
        <v>42761</v>
      </c>
      <c r="X28" s="40">
        <v>118.79</v>
      </c>
      <c r="Y28" s="40">
        <v>122.17</v>
      </c>
      <c r="Z28" s="40">
        <v>118.32</v>
      </c>
      <c r="AA28" s="40">
        <v>119.51</v>
      </c>
      <c r="AB28" s="94">
        <v>2586500</v>
      </c>
      <c r="AC28" s="40">
        <v>118.89</v>
      </c>
      <c r="AD28" s="2">
        <f t="shared" si="0"/>
        <v>3.8500000000000085</v>
      </c>
      <c r="AE28" s="137">
        <f t="shared" si="1"/>
        <v>-8.4236864053378602E-3</v>
      </c>
    </row>
    <row r="29" spans="1:31" x14ac:dyDescent="0.25">
      <c r="W29" s="156">
        <v>42760</v>
      </c>
      <c r="X29" s="40">
        <v>117.41</v>
      </c>
      <c r="Y29" s="40">
        <v>121.3</v>
      </c>
      <c r="Z29" s="40">
        <v>116.81</v>
      </c>
      <c r="AA29" s="40">
        <v>120.53</v>
      </c>
      <c r="AB29" s="94">
        <v>3832900</v>
      </c>
      <c r="AC29" s="40">
        <v>119.9</v>
      </c>
      <c r="AD29" s="2">
        <f t="shared" si="0"/>
        <v>4.4899999999999949</v>
      </c>
      <c r="AE29" s="137">
        <f t="shared" si="1"/>
        <v>3.3531592104129038E-2</v>
      </c>
    </row>
    <row r="30" spans="1:31" x14ac:dyDescent="0.25">
      <c r="W30" s="156">
        <v>42759</v>
      </c>
      <c r="X30" s="40">
        <v>114</v>
      </c>
      <c r="Y30" s="40">
        <v>117.09</v>
      </c>
      <c r="Z30" s="40">
        <v>113.3</v>
      </c>
      <c r="AA30" s="40">
        <v>116.62</v>
      </c>
      <c r="AB30" s="94">
        <v>3460700</v>
      </c>
      <c r="AC30" s="40">
        <v>116.01</v>
      </c>
      <c r="AD30" s="2">
        <f t="shared" si="0"/>
        <v>3.7900000000000063</v>
      </c>
      <c r="AE30" s="137">
        <f t="shared" si="1"/>
        <v>2.7000708215297653E-2</v>
      </c>
    </row>
    <row r="31" spans="1:31" x14ac:dyDescent="0.25">
      <c r="W31" s="156">
        <v>42758</v>
      </c>
      <c r="X31" s="40">
        <v>113.7</v>
      </c>
      <c r="Y31" s="40">
        <v>113.91</v>
      </c>
      <c r="Z31" s="40">
        <v>112.38</v>
      </c>
      <c r="AA31" s="40">
        <v>113.55</v>
      </c>
      <c r="AB31" s="94">
        <v>1951200</v>
      </c>
      <c r="AC31" s="40">
        <v>112.96</v>
      </c>
      <c r="AD31" s="2">
        <f t="shared" si="0"/>
        <v>1.5300000000000011</v>
      </c>
      <c r="AE31" s="137">
        <f t="shared" si="1"/>
        <v>-3.5398230088501403E-4</v>
      </c>
    </row>
    <row r="32" spans="1:31" x14ac:dyDescent="0.25">
      <c r="W32" s="156">
        <v>42755</v>
      </c>
      <c r="X32" s="40">
        <v>113.68</v>
      </c>
      <c r="Y32" s="40">
        <v>113.8</v>
      </c>
      <c r="Z32" s="40">
        <v>111.75</v>
      </c>
      <c r="AA32" s="40">
        <v>113.59</v>
      </c>
      <c r="AB32" s="94">
        <v>2656400</v>
      </c>
      <c r="AC32" s="40">
        <v>113</v>
      </c>
      <c r="AD32" s="2">
        <f t="shared" si="0"/>
        <v>2.0499999999999972</v>
      </c>
      <c r="AE32" s="137">
        <f t="shared" si="1"/>
        <v>-7.2915751559342601E-3</v>
      </c>
    </row>
    <row r="33" spans="1:31" x14ac:dyDescent="0.25">
      <c r="L33" t="s">
        <v>65</v>
      </c>
      <c r="M33" s="2">
        <f>K51+M51-F51</f>
        <v>-168.6200000000008</v>
      </c>
      <c r="W33" s="156">
        <v>42754</v>
      </c>
      <c r="X33" s="40">
        <v>115.57</v>
      </c>
      <c r="Y33" s="40">
        <v>116</v>
      </c>
      <c r="Z33" s="40">
        <v>112.56</v>
      </c>
      <c r="AA33" s="40">
        <v>114.42</v>
      </c>
      <c r="AB33" s="94">
        <v>5852900</v>
      </c>
      <c r="AC33" s="40">
        <v>113.83</v>
      </c>
      <c r="AD33" s="2">
        <f t="shared" si="0"/>
        <v>3.4399999999999977</v>
      </c>
      <c r="AE33" s="137">
        <f t="shared" si="1"/>
        <v>4.0493601462522788E-2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56">
        <v>42753</v>
      </c>
      <c r="X34" s="40">
        <v>106.96</v>
      </c>
      <c r="Y34" s="40">
        <v>110.04</v>
      </c>
      <c r="Z34" s="40">
        <v>105.89</v>
      </c>
      <c r="AA34" s="40">
        <v>109.97</v>
      </c>
      <c r="AB34" s="94">
        <v>2589600</v>
      </c>
      <c r="AC34" s="40">
        <v>109.4</v>
      </c>
      <c r="AD34" s="2">
        <f t="shared" si="0"/>
        <v>4.1500000000000057</v>
      </c>
      <c r="AE34" s="137">
        <f t="shared" si="1"/>
        <v>9.8772269915998745E-3</v>
      </c>
    </row>
    <row r="35" spans="1:31" x14ac:dyDescent="0.25">
      <c r="A35" s="387" t="s">
        <v>47</v>
      </c>
      <c r="B35" s="377">
        <v>42185</v>
      </c>
      <c r="C35" s="378">
        <v>10</v>
      </c>
      <c r="D35" s="379">
        <v>88.85</v>
      </c>
      <c r="E35" s="379">
        <v>0</v>
      </c>
      <c r="F35" s="379">
        <f t="shared" ref="F35:F40" si="2">C35*D35</f>
        <v>888.5</v>
      </c>
      <c r="G35" s="377">
        <v>42310</v>
      </c>
      <c r="H35" s="382">
        <v>75</v>
      </c>
      <c r="I35" s="379">
        <v>80.650000000000006</v>
      </c>
      <c r="J35" s="378">
        <v>7.06</v>
      </c>
      <c r="K35" s="378">
        <f>H35*I35-J35</f>
        <v>6041.69</v>
      </c>
      <c r="L35" s="377">
        <v>42257</v>
      </c>
      <c r="M35" s="379">
        <v>35.4</v>
      </c>
      <c r="W35" s="156">
        <v>42752</v>
      </c>
      <c r="X35" s="40">
        <v>111.18</v>
      </c>
      <c r="Y35" s="40">
        <v>111.45</v>
      </c>
      <c r="Z35" s="40">
        <v>108.47</v>
      </c>
      <c r="AA35" s="40">
        <v>108.9</v>
      </c>
      <c r="AB35" s="94">
        <v>1876300</v>
      </c>
      <c r="AC35" s="40">
        <v>108.33</v>
      </c>
      <c r="AD35" s="2">
        <f t="shared" si="0"/>
        <v>2.980000000000004</v>
      </c>
      <c r="AE35" s="137">
        <f t="shared" si="1"/>
        <v>-2.4141969191964763E-2</v>
      </c>
    </row>
    <row r="36" spans="1:31" x14ac:dyDescent="0.25">
      <c r="A36" s="388" t="s">
        <v>71</v>
      </c>
      <c r="B36" s="377">
        <v>42214</v>
      </c>
      <c r="C36" s="378">
        <v>10</v>
      </c>
      <c r="D36" s="379">
        <v>83</v>
      </c>
      <c r="E36" s="379">
        <v>0</v>
      </c>
      <c r="F36" s="379">
        <f t="shared" si="2"/>
        <v>830</v>
      </c>
      <c r="G36" s="377">
        <v>42335</v>
      </c>
      <c r="H36" s="382">
        <v>60</v>
      </c>
      <c r="I36" s="379">
        <v>95.71</v>
      </c>
      <c r="J36" s="379">
        <v>0.11</v>
      </c>
      <c r="K36" s="378">
        <f>H36*I36-J36</f>
        <v>5742.49</v>
      </c>
      <c r="L36" s="378"/>
      <c r="M36" s="379"/>
      <c r="W36" s="156">
        <v>42748</v>
      </c>
      <c r="X36" s="40">
        <v>111.01</v>
      </c>
      <c r="Y36" s="40">
        <v>111.85</v>
      </c>
      <c r="Z36" s="40">
        <v>110.55</v>
      </c>
      <c r="AA36" s="40">
        <v>111.59</v>
      </c>
      <c r="AB36" s="94">
        <v>1702800</v>
      </c>
      <c r="AC36" s="40">
        <v>111.01</v>
      </c>
      <c r="AD36" s="2">
        <f t="shared" si="0"/>
        <v>1.2999999999999972</v>
      </c>
      <c r="AE36" s="137">
        <f t="shared" si="1"/>
        <v>5.2521959612423785E-3</v>
      </c>
    </row>
    <row r="37" spans="1:31" x14ac:dyDescent="0.25">
      <c r="A37" s="378"/>
      <c r="B37" s="377">
        <v>42221</v>
      </c>
      <c r="C37" s="378">
        <v>30</v>
      </c>
      <c r="D37" s="379">
        <v>84.6</v>
      </c>
      <c r="E37" s="379">
        <v>0</v>
      </c>
      <c r="F37" s="379">
        <f t="shared" si="2"/>
        <v>2538</v>
      </c>
      <c r="G37" s="378"/>
      <c r="H37" s="382"/>
      <c r="I37" s="378"/>
      <c r="J37" s="378"/>
      <c r="K37" s="378"/>
      <c r="L37" s="378"/>
      <c r="M37" s="379"/>
      <c r="W37" s="156">
        <v>42747</v>
      </c>
      <c r="X37" s="40">
        <v>110.61</v>
      </c>
      <c r="Y37" s="40">
        <v>111.44</v>
      </c>
      <c r="Z37" s="40">
        <v>109.36</v>
      </c>
      <c r="AA37" s="40">
        <v>111.01</v>
      </c>
      <c r="AB37" s="94">
        <v>1239600</v>
      </c>
      <c r="AC37" s="40">
        <v>110.43</v>
      </c>
      <c r="AD37" s="2">
        <f t="shared" si="0"/>
        <v>2.0799999999999983</v>
      </c>
      <c r="AE37" s="137">
        <f t="shared" si="1"/>
        <v>4.0916530278232166E-3</v>
      </c>
    </row>
    <row r="38" spans="1:31" x14ac:dyDescent="0.25">
      <c r="A38" s="378"/>
      <c r="B38" s="377">
        <v>42222</v>
      </c>
      <c r="C38" s="378">
        <v>10</v>
      </c>
      <c r="D38" s="379">
        <v>83.08</v>
      </c>
      <c r="E38" s="379">
        <v>0</v>
      </c>
      <c r="F38" s="379">
        <f t="shared" si="2"/>
        <v>830.8</v>
      </c>
      <c r="G38" s="378"/>
      <c r="H38" s="382"/>
      <c r="I38" s="378"/>
      <c r="J38" s="378"/>
      <c r="K38" s="378"/>
      <c r="L38" s="378"/>
      <c r="M38" s="379"/>
      <c r="W38" s="156">
        <v>42746</v>
      </c>
      <c r="X38" s="40">
        <v>109.35</v>
      </c>
      <c r="Y38" s="40">
        <v>110.65</v>
      </c>
      <c r="Z38" s="40">
        <v>108.77</v>
      </c>
      <c r="AA38" s="40">
        <v>110.55</v>
      </c>
      <c r="AB38" s="94">
        <v>1180200</v>
      </c>
      <c r="AC38" s="40">
        <v>109.98</v>
      </c>
      <c r="AD38" s="2">
        <f t="shared" si="0"/>
        <v>1.8800000000000097</v>
      </c>
      <c r="AE38" s="137">
        <f t="shared" si="1"/>
        <v>1.1868617168092843E-2</v>
      </c>
    </row>
    <row r="39" spans="1:31" x14ac:dyDescent="0.25">
      <c r="A39" s="378"/>
      <c r="B39" s="377">
        <v>42272</v>
      </c>
      <c r="C39" s="378">
        <v>15</v>
      </c>
      <c r="D39" s="379">
        <v>77.3</v>
      </c>
      <c r="E39" s="379">
        <v>0</v>
      </c>
      <c r="F39" s="379">
        <f t="shared" si="2"/>
        <v>1159.5</v>
      </c>
      <c r="G39" s="378"/>
      <c r="H39" s="382"/>
      <c r="I39" s="378"/>
      <c r="J39" s="378"/>
      <c r="K39" s="378"/>
      <c r="L39" s="378"/>
      <c r="M39" s="378"/>
      <c r="W39" s="156">
        <v>42745</v>
      </c>
      <c r="X39" s="40">
        <v>109.23</v>
      </c>
      <c r="Y39" s="40">
        <v>110.05</v>
      </c>
      <c r="Z39" s="40">
        <v>108.33</v>
      </c>
      <c r="AA39" s="40">
        <v>109.26</v>
      </c>
      <c r="AB39" s="94">
        <v>1814500</v>
      </c>
      <c r="AC39" s="40">
        <v>108.69</v>
      </c>
      <c r="AD39" s="2">
        <f t="shared" si="0"/>
        <v>1.7199999999999989</v>
      </c>
      <c r="AE39" s="137">
        <f t="shared" si="1"/>
        <v>7.3658042537516621E-4</v>
      </c>
    </row>
    <row r="40" spans="1:31" x14ac:dyDescent="0.25">
      <c r="A40" s="378"/>
      <c r="B40" s="377">
        <v>42335</v>
      </c>
      <c r="C40" s="378">
        <v>60</v>
      </c>
      <c r="D40" s="379">
        <v>95.69</v>
      </c>
      <c r="E40" s="379">
        <v>0</v>
      </c>
      <c r="F40" s="379">
        <f t="shared" si="2"/>
        <v>5741.4</v>
      </c>
      <c r="G40" s="378"/>
      <c r="H40" s="382"/>
      <c r="I40" s="378"/>
      <c r="J40" s="378"/>
      <c r="K40" s="378"/>
      <c r="L40" s="378"/>
      <c r="M40" s="378"/>
      <c r="W40" s="156">
        <v>42744</v>
      </c>
      <c r="X40" s="40">
        <v>110.89</v>
      </c>
      <c r="Y40" s="40">
        <v>110.89</v>
      </c>
      <c r="Z40" s="40">
        <v>108.28</v>
      </c>
      <c r="AA40" s="40">
        <v>109.18</v>
      </c>
      <c r="AB40" s="94">
        <v>1972000</v>
      </c>
      <c r="AC40" s="40">
        <v>108.61</v>
      </c>
      <c r="AD40" s="2">
        <f t="shared" si="0"/>
        <v>2.6099999999999994</v>
      </c>
      <c r="AE40" s="137">
        <f t="shared" si="1"/>
        <v>-2.2236226143320104E-2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82"/>
      <c r="I41" s="378"/>
      <c r="J41" s="378"/>
      <c r="K41" s="378"/>
      <c r="L41" s="378"/>
      <c r="M41" s="378"/>
      <c r="W41" s="156">
        <v>42741</v>
      </c>
      <c r="X41" s="40">
        <v>110.18</v>
      </c>
      <c r="Y41" s="40">
        <v>112.99</v>
      </c>
      <c r="Z41" s="40">
        <v>109.92</v>
      </c>
      <c r="AA41" s="40">
        <v>111.66</v>
      </c>
      <c r="AB41" s="94">
        <v>2009200</v>
      </c>
      <c r="AC41" s="40">
        <v>111.08</v>
      </c>
      <c r="AD41" s="2">
        <f t="shared" si="0"/>
        <v>3.0699999999999932</v>
      </c>
      <c r="AE41" s="137">
        <f t="shared" si="1"/>
        <v>1.2395187750638081E-2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153" t="s">
        <v>78</v>
      </c>
      <c r="P42" s="153"/>
      <c r="R42" s="34"/>
      <c r="T42" s="154" t="s">
        <v>92</v>
      </c>
      <c r="W42" s="156">
        <v>42740</v>
      </c>
      <c r="X42" s="40">
        <v>110.18</v>
      </c>
      <c r="Y42" s="40">
        <v>111.65</v>
      </c>
      <c r="Z42" s="40">
        <v>110.16</v>
      </c>
      <c r="AA42" s="40">
        <v>110.29</v>
      </c>
      <c r="AB42" s="94">
        <v>3135300</v>
      </c>
      <c r="AC42" s="40">
        <v>109.72</v>
      </c>
      <c r="AD42" s="2">
        <f t="shared" si="0"/>
        <v>1.4900000000000091</v>
      </c>
      <c r="AE42" s="137">
        <f t="shared" si="1"/>
        <v>-3.1797946761151774E-3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 t="shared" ref="P43:P63" si="3">O43*$Q$4</f>
        <v>131.626</v>
      </c>
      <c r="Q43" s="2"/>
      <c r="R43" s="34"/>
      <c r="T43" s="10" t="s">
        <v>98</v>
      </c>
      <c r="U43" s="87">
        <v>121.77</v>
      </c>
      <c r="W43" s="156">
        <v>42739</v>
      </c>
      <c r="X43" s="40">
        <v>107.57</v>
      </c>
      <c r="Y43" s="40">
        <v>110.98</v>
      </c>
      <c r="Z43" s="40">
        <v>107.15</v>
      </c>
      <c r="AA43" s="40">
        <v>110.64</v>
      </c>
      <c r="AB43" s="94">
        <v>2705500</v>
      </c>
      <c r="AC43" s="40">
        <v>110.07</v>
      </c>
      <c r="AD43" s="2">
        <f t="shared" si="0"/>
        <v>3.8299999999999983</v>
      </c>
      <c r="AE43" s="137">
        <f t="shared" si="1"/>
        <v>3.4200883209621225E-2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si="3"/>
        <v>130.42940000000002</v>
      </c>
      <c r="Q44" s="2"/>
      <c r="R44" s="34"/>
      <c r="T44" s="10" t="s">
        <v>99</v>
      </c>
      <c r="U44" s="87">
        <v>121.93</v>
      </c>
      <c r="W44" s="156">
        <v>42738</v>
      </c>
      <c r="X44" s="40">
        <v>108.91</v>
      </c>
      <c r="Y44" s="40">
        <v>109.52</v>
      </c>
      <c r="Z44" s="40">
        <v>106.15</v>
      </c>
      <c r="AA44" s="40">
        <v>106.99</v>
      </c>
      <c r="AB44" s="94">
        <v>1770100</v>
      </c>
      <c r="AC44" s="40">
        <v>106.43</v>
      </c>
      <c r="AD44" s="2">
        <f t="shared" si="0"/>
        <v>3.3699999999999903</v>
      </c>
      <c r="AE44" s="137">
        <f t="shared" si="1"/>
        <v>-1.0045577155613383E-2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3"/>
        <v>129.2328</v>
      </c>
      <c r="Q45" s="2"/>
      <c r="R45" s="34"/>
      <c r="T45" s="10" t="s">
        <v>100</v>
      </c>
      <c r="U45" s="87" t="s">
        <v>129</v>
      </c>
      <c r="W45" s="156">
        <v>42734</v>
      </c>
      <c r="X45" s="40">
        <v>108.85</v>
      </c>
      <c r="Y45" s="40">
        <v>108.99</v>
      </c>
      <c r="Z45" s="40">
        <v>107.5</v>
      </c>
      <c r="AA45" s="40">
        <v>108.07</v>
      </c>
      <c r="AB45" s="94">
        <v>1487300</v>
      </c>
      <c r="AC45" s="40">
        <v>107.51</v>
      </c>
      <c r="AD45" s="2">
        <f t="shared" si="0"/>
        <v>1.4899999999999949</v>
      </c>
      <c r="AE45" s="137">
        <f t="shared" si="1"/>
        <v>-6.8360277136257919E-3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3"/>
        <v>128.03620000000001</v>
      </c>
      <c r="Q46" s="2"/>
      <c r="R46" s="34"/>
      <c r="T46" s="10" t="s">
        <v>101</v>
      </c>
      <c r="U46" s="87" t="s">
        <v>129</v>
      </c>
      <c r="W46" s="156">
        <v>42733</v>
      </c>
      <c r="X46" s="40">
        <v>108.86</v>
      </c>
      <c r="Y46" s="40">
        <v>109.32</v>
      </c>
      <c r="Z46" s="40">
        <v>107.77</v>
      </c>
      <c r="AA46" s="40">
        <v>108.82</v>
      </c>
      <c r="AB46" s="94">
        <v>926800</v>
      </c>
      <c r="AC46" s="40">
        <v>108.25</v>
      </c>
      <c r="AD46" s="2">
        <f t="shared" si="0"/>
        <v>1.5499999999999972</v>
      </c>
      <c r="AE46" s="137">
        <f t="shared" si="1"/>
        <v>8.3210059171601181E-4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3"/>
        <v>126.8396</v>
      </c>
      <c r="Q47" s="2"/>
      <c r="R47" s="34"/>
      <c r="T47" s="10" t="s">
        <v>102</v>
      </c>
      <c r="U47" s="87">
        <v>118.75</v>
      </c>
      <c r="W47" s="156">
        <v>42732</v>
      </c>
      <c r="X47" s="40">
        <v>109.41</v>
      </c>
      <c r="Y47" s="40">
        <v>110.26</v>
      </c>
      <c r="Z47" s="40">
        <v>108.62</v>
      </c>
      <c r="AA47" s="40">
        <v>108.72</v>
      </c>
      <c r="AB47" s="94">
        <v>1034300</v>
      </c>
      <c r="AC47" s="40">
        <v>108.16</v>
      </c>
      <c r="AD47" s="2">
        <f t="shared" si="0"/>
        <v>1.6400000000000006</v>
      </c>
      <c r="AE47" s="137">
        <f t="shared" si="1"/>
        <v>-6.6127847171197907E-3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3"/>
        <v>125.643</v>
      </c>
      <c r="Q48" s="2"/>
      <c r="R48" s="34"/>
      <c r="T48" s="10" t="s">
        <v>103</v>
      </c>
      <c r="U48" s="87">
        <v>1.4616</v>
      </c>
      <c r="W48" s="156">
        <v>42731</v>
      </c>
      <c r="X48" s="40">
        <v>109.34</v>
      </c>
      <c r="Y48" s="40">
        <v>109.87</v>
      </c>
      <c r="Z48" s="40">
        <v>109.32</v>
      </c>
      <c r="AA48" s="40">
        <v>109.45</v>
      </c>
      <c r="AB48" s="94">
        <v>856000</v>
      </c>
      <c r="AC48" s="40">
        <v>108.88</v>
      </c>
      <c r="AD48" s="2">
        <f t="shared" si="0"/>
        <v>0.55000000000001137</v>
      </c>
      <c r="AE48" s="137">
        <f t="shared" si="1"/>
        <v>1.5637935792476299E-3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3"/>
        <v>124.4464</v>
      </c>
      <c r="Q49" s="2"/>
      <c r="R49" s="34"/>
      <c r="T49" s="10" t="s">
        <v>122</v>
      </c>
      <c r="U49" s="87" t="s">
        <v>415</v>
      </c>
      <c r="W49" s="156">
        <v>42727</v>
      </c>
      <c r="X49" s="40">
        <v>108.66</v>
      </c>
      <c r="Y49" s="40">
        <v>109.79</v>
      </c>
      <c r="Z49" s="40">
        <v>108.19</v>
      </c>
      <c r="AA49" s="40">
        <v>109.28</v>
      </c>
      <c r="AB49" s="94">
        <v>2118500</v>
      </c>
      <c r="AC49" s="40">
        <v>108.71</v>
      </c>
      <c r="AD49" s="2">
        <f t="shared" si="0"/>
        <v>1.6000000000000085</v>
      </c>
      <c r="AE49" s="137">
        <f t="shared" si="1"/>
        <v>4.5278137128073048E-3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3"/>
        <v>123.24979999999999</v>
      </c>
      <c r="Q50" s="2"/>
      <c r="R50" s="34"/>
      <c r="T50" s="10"/>
      <c r="U50" s="87"/>
      <c r="W50" s="156">
        <v>42726</v>
      </c>
      <c r="X50" s="40">
        <v>107.65</v>
      </c>
      <c r="Y50" s="40">
        <v>108.79</v>
      </c>
      <c r="Z50" s="40">
        <v>107.46</v>
      </c>
      <c r="AA50" s="40">
        <v>108.78</v>
      </c>
      <c r="AB50" s="94">
        <v>1645400</v>
      </c>
      <c r="AC50" s="40">
        <v>108.22</v>
      </c>
      <c r="AD50" s="2">
        <f t="shared" si="0"/>
        <v>1.3300000000000125</v>
      </c>
      <c r="AE50" s="137">
        <f t="shared" si="1"/>
        <v>6.7913294259931423E-3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122.0532</v>
      </c>
      <c r="Q51" s="2"/>
      <c r="R51" s="34"/>
      <c r="T51" s="10" t="s">
        <v>105</v>
      </c>
      <c r="U51" s="87" t="s">
        <v>665</v>
      </c>
      <c r="W51" s="156">
        <v>42725</v>
      </c>
      <c r="X51" s="40">
        <v>108.33</v>
      </c>
      <c r="Y51" s="40">
        <v>108.98</v>
      </c>
      <c r="Z51" s="40">
        <v>107.57</v>
      </c>
      <c r="AA51" s="40">
        <v>108.05</v>
      </c>
      <c r="AB51" s="94">
        <v>1292200</v>
      </c>
      <c r="AC51" s="40">
        <v>107.49</v>
      </c>
      <c r="AD51" s="2">
        <f t="shared" si="0"/>
        <v>1.4100000000000108</v>
      </c>
      <c r="AE51" s="137">
        <f t="shared" si="1"/>
        <v>-1.115137998327298E-3</v>
      </c>
    </row>
    <row r="52" spans="1:31" x14ac:dyDescent="0.25">
      <c r="O52" s="82">
        <v>1.01</v>
      </c>
      <c r="P52" s="82">
        <f t="shared" si="3"/>
        <v>120.8566</v>
      </c>
      <c r="Q52" s="2"/>
      <c r="R52" s="34"/>
      <c r="T52" s="10" t="s">
        <v>106</v>
      </c>
      <c r="U52" s="87" t="s">
        <v>563</v>
      </c>
      <c r="W52" s="156">
        <v>42724</v>
      </c>
      <c r="X52" s="40">
        <v>107.25</v>
      </c>
      <c r="Y52" s="40">
        <v>108.35</v>
      </c>
      <c r="Z52" s="40">
        <v>107.05</v>
      </c>
      <c r="AA52" s="40">
        <v>108.17</v>
      </c>
      <c r="AB52" s="94">
        <v>1197400</v>
      </c>
      <c r="AC52" s="40">
        <v>107.61</v>
      </c>
      <c r="AD52" s="2">
        <f t="shared" si="0"/>
        <v>1.2999999999999972</v>
      </c>
      <c r="AE52" s="137">
        <f t="shared" si="1"/>
        <v>1.1657422205509027E-2</v>
      </c>
    </row>
    <row r="53" spans="1:31" x14ac:dyDescent="0.25">
      <c r="O53" s="82">
        <v>1</v>
      </c>
      <c r="P53" s="82">
        <f t="shared" si="3"/>
        <v>119.66</v>
      </c>
      <c r="Q53" s="2"/>
      <c r="R53" s="34"/>
      <c r="T53" s="10" t="s">
        <v>107</v>
      </c>
      <c r="U53" s="89">
        <v>1792825</v>
      </c>
      <c r="W53" s="156">
        <v>42723</v>
      </c>
      <c r="X53" s="40">
        <v>106.56</v>
      </c>
      <c r="Y53" s="40">
        <v>107.17</v>
      </c>
      <c r="Z53" s="40">
        <v>106.17</v>
      </c>
      <c r="AA53" s="40">
        <v>106.93</v>
      </c>
      <c r="AB53" s="94">
        <v>1302300</v>
      </c>
      <c r="AC53" s="40">
        <v>106.37</v>
      </c>
      <c r="AD53" s="2">
        <f t="shared" si="0"/>
        <v>1</v>
      </c>
      <c r="AE53" s="137">
        <f t="shared" si="1"/>
        <v>2.3558235959291185E-3</v>
      </c>
    </row>
    <row r="54" spans="1:31" x14ac:dyDescent="0.25">
      <c r="O54" s="82">
        <v>0.99</v>
      </c>
      <c r="P54" s="82">
        <f t="shared" si="3"/>
        <v>118.46339999999999</v>
      </c>
      <c r="Q54" s="2"/>
      <c r="R54" s="34"/>
      <c r="T54" s="10" t="s">
        <v>110</v>
      </c>
      <c r="U54" s="89">
        <v>1960170</v>
      </c>
      <c r="W54" s="156">
        <v>42720</v>
      </c>
      <c r="X54" s="40">
        <v>108.09</v>
      </c>
      <c r="Y54" s="40">
        <v>108.18</v>
      </c>
      <c r="Z54" s="40">
        <v>106.11</v>
      </c>
      <c r="AA54" s="40">
        <v>106.67</v>
      </c>
      <c r="AB54" s="94">
        <v>2614000</v>
      </c>
      <c r="AC54" s="40">
        <v>106.12</v>
      </c>
      <c r="AD54" s="2">
        <f t="shared" si="0"/>
        <v>2.0700000000000074</v>
      </c>
      <c r="AE54" s="137">
        <f t="shared" si="1"/>
        <v>-1.3296141329614097E-2</v>
      </c>
    </row>
    <row r="55" spans="1:31" x14ac:dyDescent="0.25">
      <c r="O55" s="82">
        <v>0.98</v>
      </c>
      <c r="P55" s="82">
        <f t="shared" si="3"/>
        <v>117.26679999999999</v>
      </c>
      <c r="Q55" s="2"/>
      <c r="R55" s="34"/>
      <c r="T55" s="10" t="s">
        <v>108</v>
      </c>
      <c r="U55" s="87" t="s">
        <v>666</v>
      </c>
      <c r="W55" s="156">
        <v>42719</v>
      </c>
      <c r="X55" s="40">
        <v>107.23</v>
      </c>
      <c r="Y55" s="40">
        <v>109.24</v>
      </c>
      <c r="Z55" s="40">
        <v>106.79</v>
      </c>
      <c r="AA55" s="40">
        <v>108.11</v>
      </c>
      <c r="AB55" s="94">
        <v>1374800</v>
      </c>
      <c r="AC55" s="40">
        <v>107.55</v>
      </c>
      <c r="AD55" s="2">
        <f t="shared" si="0"/>
        <v>2.4499999999999886</v>
      </c>
      <c r="AE55" s="137">
        <f t="shared" si="1"/>
        <v>4.9523453560083031E-3</v>
      </c>
    </row>
    <row r="56" spans="1:31" x14ac:dyDescent="0.25">
      <c r="O56" s="82">
        <v>0.97</v>
      </c>
      <c r="P56" s="82">
        <f t="shared" si="3"/>
        <v>116.0702</v>
      </c>
      <c r="T56" s="10" t="s">
        <v>111</v>
      </c>
      <c r="U56" s="87">
        <v>21.77</v>
      </c>
      <c r="W56" s="156">
        <v>42718</v>
      </c>
      <c r="X56" s="40">
        <v>109.54</v>
      </c>
      <c r="Y56" s="40">
        <v>110.24</v>
      </c>
      <c r="Z56" s="40">
        <v>107.46</v>
      </c>
      <c r="AA56" s="40">
        <v>107.58</v>
      </c>
      <c r="AB56" s="94">
        <v>1867100</v>
      </c>
      <c r="AC56" s="40">
        <v>107.02</v>
      </c>
      <c r="AD56" s="2">
        <f t="shared" si="0"/>
        <v>2.7800000000000011</v>
      </c>
      <c r="AE56" s="137">
        <f t="shared" si="1"/>
        <v>-2.0501555921654813E-2</v>
      </c>
    </row>
    <row r="57" spans="1:31" x14ac:dyDescent="0.25">
      <c r="O57" s="82">
        <v>0.96</v>
      </c>
      <c r="P57" s="82">
        <f t="shared" si="3"/>
        <v>114.8736</v>
      </c>
      <c r="T57" s="10" t="s">
        <v>112</v>
      </c>
      <c r="U57" s="87">
        <v>5.62</v>
      </c>
      <c r="W57" s="156">
        <v>42717</v>
      </c>
      <c r="X57" s="40">
        <v>110.83</v>
      </c>
      <c r="Y57" s="40">
        <v>111.39</v>
      </c>
      <c r="Z57" s="40">
        <v>108.45</v>
      </c>
      <c r="AA57" s="40">
        <v>109.83</v>
      </c>
      <c r="AB57" s="94">
        <v>1793200</v>
      </c>
      <c r="AC57" s="40">
        <v>109.26</v>
      </c>
      <c r="AD57" s="2">
        <f t="shared" si="0"/>
        <v>2.9399999999999977</v>
      </c>
      <c r="AE57" s="137">
        <f t="shared" si="1"/>
        <v>-7.8096621867054239E-3</v>
      </c>
    </row>
    <row r="58" spans="1:31" x14ac:dyDescent="0.25">
      <c r="O58" s="82">
        <v>0.95</v>
      </c>
      <c r="P58" s="82">
        <f t="shared" si="3"/>
        <v>113.67699999999999</v>
      </c>
      <c r="T58" s="10" t="s">
        <v>109</v>
      </c>
      <c r="U58" s="87" t="s">
        <v>667</v>
      </c>
      <c r="W58" s="156">
        <v>42716</v>
      </c>
      <c r="X58" s="40">
        <v>110.78</v>
      </c>
      <c r="Y58" s="40">
        <v>111.43</v>
      </c>
      <c r="Z58" s="40">
        <v>109.4</v>
      </c>
      <c r="AA58" s="40">
        <v>110.69</v>
      </c>
      <c r="AB58" s="94">
        <v>1854500</v>
      </c>
      <c r="AC58" s="40">
        <v>110.12</v>
      </c>
      <c r="AD58" s="2">
        <f t="shared" si="0"/>
        <v>2.0300000000000011</v>
      </c>
      <c r="AE58" s="137">
        <f t="shared" si="1"/>
        <v>8.1795873852597012E-4</v>
      </c>
    </row>
    <row r="59" spans="1:31" x14ac:dyDescent="0.25">
      <c r="O59" s="82">
        <v>0.94</v>
      </c>
      <c r="P59" s="82">
        <f t="shared" si="3"/>
        <v>112.48039999999999</v>
      </c>
      <c r="W59" s="156">
        <v>42713</v>
      </c>
      <c r="X59" s="40">
        <v>109.89</v>
      </c>
      <c r="Y59" s="40">
        <v>110.72</v>
      </c>
      <c r="Z59" s="40">
        <v>109.13</v>
      </c>
      <c r="AA59" s="40">
        <v>110.6</v>
      </c>
      <c r="AB59" s="94">
        <v>1457000</v>
      </c>
      <c r="AC59" s="40">
        <v>110.03</v>
      </c>
      <c r="AD59" s="2">
        <f t="shared" si="0"/>
        <v>1.5900000000000034</v>
      </c>
      <c r="AE59" s="137">
        <f t="shared" si="1"/>
        <v>5.2992233896755891E-3</v>
      </c>
    </row>
    <row r="60" spans="1:31" x14ac:dyDescent="0.25">
      <c r="O60" s="82">
        <v>0.93</v>
      </c>
      <c r="P60" s="82">
        <f t="shared" si="3"/>
        <v>111.2838</v>
      </c>
      <c r="W60" s="156">
        <v>42712</v>
      </c>
      <c r="X60" s="40">
        <v>109.88</v>
      </c>
      <c r="Y60" s="40">
        <v>110.38</v>
      </c>
      <c r="Z60" s="40">
        <v>109</v>
      </c>
      <c r="AA60" s="40">
        <v>110.02</v>
      </c>
      <c r="AB60" s="94">
        <v>1360500</v>
      </c>
      <c r="AC60" s="40">
        <v>109.45</v>
      </c>
      <c r="AD60" s="2">
        <f t="shared" si="0"/>
        <v>1.3799999999999955</v>
      </c>
      <c r="AE60" s="137">
        <f t="shared" si="1"/>
        <v>2.4729803993404076E-3</v>
      </c>
    </row>
    <row r="61" spans="1:31" x14ac:dyDescent="0.25">
      <c r="O61" s="82">
        <v>0.92</v>
      </c>
      <c r="P61" s="82">
        <f t="shared" si="3"/>
        <v>110.0872</v>
      </c>
      <c r="W61" s="156">
        <v>42711</v>
      </c>
      <c r="X61" s="40">
        <v>106.64</v>
      </c>
      <c r="Y61" s="40">
        <v>109.86</v>
      </c>
      <c r="Z61" s="40">
        <v>106.05</v>
      </c>
      <c r="AA61" s="40">
        <v>109.75</v>
      </c>
      <c r="AB61" s="94">
        <v>1920600</v>
      </c>
      <c r="AC61" s="40">
        <v>109.18</v>
      </c>
      <c r="AD61" s="2">
        <f t="shared" si="0"/>
        <v>3.8100000000000023</v>
      </c>
      <c r="AE61" s="137">
        <f t="shared" si="1"/>
        <v>3.331440469430258E-2</v>
      </c>
    </row>
    <row r="62" spans="1:31" x14ac:dyDescent="0.25">
      <c r="O62" s="82">
        <v>0.91</v>
      </c>
      <c r="P62" s="82">
        <f t="shared" si="3"/>
        <v>108.89060000000001</v>
      </c>
      <c r="W62" s="156">
        <v>42710</v>
      </c>
      <c r="X62" s="40">
        <v>105.96</v>
      </c>
      <c r="Y62" s="40">
        <v>106.25</v>
      </c>
      <c r="Z62" s="40">
        <v>105.16</v>
      </c>
      <c r="AA62" s="40">
        <v>106.21</v>
      </c>
      <c r="AB62" s="94">
        <v>1356600</v>
      </c>
      <c r="AC62" s="40">
        <v>105.66</v>
      </c>
      <c r="AD62" s="2">
        <f t="shared" si="0"/>
        <v>1.0900000000000034</v>
      </c>
      <c r="AE62" s="137">
        <f t="shared" si="1"/>
        <v>2.3716914903708641E-3</v>
      </c>
    </row>
    <row r="63" spans="1:31" x14ac:dyDescent="0.25">
      <c r="O63" s="82">
        <v>0.9</v>
      </c>
      <c r="P63" s="82">
        <f t="shared" si="3"/>
        <v>107.694</v>
      </c>
      <c r="W63" s="156">
        <v>42709</v>
      </c>
      <c r="X63" s="40">
        <v>106.2</v>
      </c>
      <c r="Y63" s="40">
        <v>106.92</v>
      </c>
      <c r="Z63" s="40">
        <v>105.62</v>
      </c>
      <c r="AA63" s="40">
        <v>105.96</v>
      </c>
      <c r="AB63" s="94">
        <v>1745400</v>
      </c>
      <c r="AC63" s="40">
        <v>105.41</v>
      </c>
      <c r="AD63" s="2">
        <f t="shared" si="0"/>
        <v>1.2999999999999972</v>
      </c>
      <c r="AE63" s="137">
        <f t="shared" si="1"/>
        <v>3.4269395525940993E-3</v>
      </c>
    </row>
    <row r="64" spans="1:31" x14ac:dyDescent="0.25">
      <c r="W64" s="156">
        <v>42706</v>
      </c>
      <c r="X64" s="40">
        <v>106.65</v>
      </c>
      <c r="Y64" s="40">
        <v>107.1</v>
      </c>
      <c r="Z64" s="40">
        <v>105.09</v>
      </c>
      <c r="AA64" s="40">
        <v>105.6</v>
      </c>
      <c r="AB64" s="94">
        <v>1781800</v>
      </c>
      <c r="AC64" s="40">
        <v>105.05</v>
      </c>
      <c r="AD64" s="2">
        <f t="shared" si="0"/>
        <v>2.0099999999999909</v>
      </c>
      <c r="AE64" s="137">
        <f t="shared" si="1"/>
        <v>-1.1573202860368892E-2</v>
      </c>
    </row>
    <row r="65" spans="23:31" x14ac:dyDescent="0.25">
      <c r="W65" s="156">
        <v>42705</v>
      </c>
      <c r="X65" s="40">
        <v>106.87</v>
      </c>
      <c r="Y65" s="40">
        <v>107.89</v>
      </c>
      <c r="Z65" s="40">
        <v>106.58</v>
      </c>
      <c r="AA65" s="40">
        <v>106.83</v>
      </c>
      <c r="AB65" s="94">
        <v>2059500</v>
      </c>
      <c r="AC65" s="40">
        <v>106.28</v>
      </c>
      <c r="AD65" s="2">
        <f t="shared" si="0"/>
        <v>1.3100000000000023</v>
      </c>
      <c r="AE65" s="137">
        <f t="shared" si="1"/>
        <v>3.4935322443585548E-3</v>
      </c>
    </row>
    <row r="66" spans="23:31" x14ac:dyDescent="0.25">
      <c r="W66" s="156">
        <v>42704</v>
      </c>
      <c r="X66" s="40">
        <v>105</v>
      </c>
      <c r="Y66" s="40">
        <v>107.32</v>
      </c>
      <c r="Z66" s="40">
        <v>104.75</v>
      </c>
      <c r="AA66" s="40">
        <v>106.46</v>
      </c>
      <c r="AB66" s="94">
        <v>3335100</v>
      </c>
      <c r="AC66" s="40">
        <v>105.91</v>
      </c>
      <c r="AD66" s="2">
        <f t="shared" si="0"/>
        <v>2.5699999999999932</v>
      </c>
      <c r="AE66" s="137">
        <f t="shared" si="1"/>
        <v>2.0032745834537291E-2</v>
      </c>
    </row>
    <row r="67" spans="23:31" x14ac:dyDescent="0.25">
      <c r="W67" s="156">
        <v>42703</v>
      </c>
      <c r="X67" s="40">
        <v>103.82</v>
      </c>
      <c r="Y67" s="40">
        <v>104.86</v>
      </c>
      <c r="Z67" s="40">
        <v>103.23</v>
      </c>
      <c r="AA67" s="40">
        <v>104.37</v>
      </c>
      <c r="AB67" s="94">
        <v>2261800</v>
      </c>
      <c r="AC67" s="40">
        <v>103.83</v>
      </c>
      <c r="AD67" s="2">
        <f>Y67-Z67</f>
        <v>1.6299999999999955</v>
      </c>
      <c r="AE67" s="137" t="e">
        <f>AC67/#REF!-1</f>
        <v>#REF!</v>
      </c>
    </row>
    <row r="68" spans="23:31" x14ac:dyDescent="0.25">
      <c r="W68" s="156">
        <v>42702</v>
      </c>
      <c r="X68" s="40">
        <v>103.72</v>
      </c>
      <c r="Y68" s="40">
        <v>104.24</v>
      </c>
      <c r="Z68" s="40">
        <v>102.77</v>
      </c>
      <c r="AA68" s="40">
        <v>103.99</v>
      </c>
      <c r="AB68" s="94">
        <v>1627100</v>
      </c>
      <c r="AC68" s="40">
        <v>103.45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56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57" priority="25">
      <formula>F24&gt;0</formula>
    </cfRule>
    <cfRule type="expression" dxfId="256" priority="26">
      <formula>F24&lt;0</formula>
    </cfRule>
  </conditionalFormatting>
  <conditionalFormatting sqref="H21:H27">
    <cfRule type="expression" dxfId="255" priority="19">
      <formula>H21&gt;0</formula>
    </cfRule>
    <cfRule type="expression" dxfId="254" priority="20">
      <formula>H21&lt;0</formula>
    </cfRule>
  </conditionalFormatting>
  <conditionalFormatting sqref="F21:F23">
    <cfRule type="expression" dxfId="253" priority="5">
      <formula>F21&gt;0</formula>
    </cfRule>
    <cfRule type="expression" dxfId="252" priority="6">
      <formula>F21&lt;0</formula>
    </cfRule>
  </conditionalFormatting>
  <conditionalFormatting sqref="Q8">
    <cfRule type="expression" dxfId="251" priority="1">
      <formula>Q8&gt;0</formula>
    </cfRule>
    <cfRule type="expression" dxfId="250" priority="2">
      <formula>Q8&lt;0</formula>
    </cfRule>
  </conditionalFormatting>
  <conditionalFormatting sqref="Q7">
    <cfRule type="expression" dxfId="249" priority="3">
      <formula>Q7&gt;0</formula>
    </cfRule>
    <cfRule type="expression" dxfId="24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42797</v>
      </c>
      <c r="X2" s="10">
        <v>218</v>
      </c>
      <c r="Y2" s="10">
        <v>220</v>
      </c>
      <c r="Z2" s="10">
        <v>217.7</v>
      </c>
      <c r="AA2" s="10">
        <v>218.32</v>
      </c>
      <c r="AB2" s="94">
        <v>3074700</v>
      </c>
      <c r="AC2" s="10">
        <v>218.32</v>
      </c>
      <c r="AD2" s="2">
        <f>Y2-Z2</f>
        <v>2.3000000000000114</v>
      </c>
      <c r="AE2" s="137">
        <f>AC2/AC3-1</f>
        <v>4.7402089373647094E-3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226.35</v>
      </c>
      <c r="T3" s="63"/>
      <c r="W3" s="132">
        <v>42796</v>
      </c>
      <c r="X3" s="10">
        <v>224.11</v>
      </c>
      <c r="Y3" s="10">
        <v>224.98</v>
      </c>
      <c r="Z3" s="10">
        <v>216.02</v>
      </c>
      <c r="AA3" s="10">
        <v>217.29</v>
      </c>
      <c r="AB3" s="94">
        <v>7110600</v>
      </c>
      <c r="AC3" s="10">
        <v>217.29</v>
      </c>
      <c r="AD3" s="2">
        <f t="shared" ref="AD3:AD66" si="0">Y3-Z3</f>
        <v>8.9599999999999795</v>
      </c>
      <c r="AE3" s="137">
        <f t="shared" ref="AE3:AE66" si="1">AC3/AC4-1</f>
        <v>9.9934926094635834E-3</v>
      </c>
    </row>
    <row r="4" spans="1:31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226.35</v>
      </c>
      <c r="R4" s="499">
        <v>1.95E-2</v>
      </c>
      <c r="T4" s="63"/>
      <c r="W4" s="132">
        <v>42795</v>
      </c>
      <c r="X4" s="10">
        <v>213.07</v>
      </c>
      <c r="Y4" s="10">
        <v>215.39</v>
      </c>
      <c r="Z4" s="10">
        <v>210.56</v>
      </c>
      <c r="AA4" s="10">
        <v>215.14</v>
      </c>
      <c r="AB4" s="94">
        <v>4962100</v>
      </c>
      <c r="AC4" s="10">
        <v>215.14</v>
      </c>
      <c r="AD4" s="2">
        <f t="shared" si="0"/>
        <v>4.8299999999999841</v>
      </c>
      <c r="AE4" s="137">
        <f t="shared" si="1"/>
        <v>1.9959228179964761E-2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42794</v>
      </c>
      <c r="X5" s="10">
        <v>214.14</v>
      </c>
      <c r="Y5" s="10">
        <v>214.34</v>
      </c>
      <c r="Z5" s="10">
        <v>210.3</v>
      </c>
      <c r="AA5" s="10">
        <v>210.93</v>
      </c>
      <c r="AB5" s="94">
        <v>2731700</v>
      </c>
      <c r="AC5" s="10">
        <v>210.93</v>
      </c>
      <c r="AD5" s="2">
        <f t="shared" si="0"/>
        <v>4.039999999999992</v>
      </c>
      <c r="AE5" s="137">
        <f t="shared" si="1"/>
        <v>-1.1018379594898708E-2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42793</v>
      </c>
      <c r="X6" s="10">
        <v>210.67</v>
      </c>
      <c r="Y6" s="10">
        <v>213.45</v>
      </c>
      <c r="Z6" s="10">
        <v>210.19</v>
      </c>
      <c r="AA6" s="10">
        <v>213.28</v>
      </c>
      <c r="AB6" s="94">
        <v>2656300</v>
      </c>
      <c r="AC6" s="10">
        <v>213.28</v>
      </c>
      <c r="AD6" s="2">
        <f t="shared" si="0"/>
        <v>3.2599999999999909</v>
      </c>
      <c r="AE6" s="137">
        <f t="shared" si="1"/>
        <v>1.3832770832342911E-2</v>
      </c>
    </row>
    <row r="7" spans="1:31" x14ac:dyDescent="0.25">
      <c r="B7" s="37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42790</v>
      </c>
      <c r="X7" s="10">
        <v>208.38</v>
      </c>
      <c r="Y7" s="10">
        <v>210.65</v>
      </c>
      <c r="Z7" s="10">
        <v>202.61</v>
      </c>
      <c r="AA7" s="10">
        <v>210.37</v>
      </c>
      <c r="AB7" s="94">
        <v>2761200</v>
      </c>
      <c r="AC7" s="10">
        <v>210.37</v>
      </c>
      <c r="AD7" s="2">
        <f t="shared" si="0"/>
        <v>8.039999999999992</v>
      </c>
      <c r="AE7" s="137">
        <f t="shared" si="1"/>
        <v>-9.9724570234593912E-4</v>
      </c>
    </row>
    <row r="8" spans="1:31" x14ac:dyDescent="0.25">
      <c r="B8" s="37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42789</v>
      </c>
      <c r="X8" s="10">
        <v>215.08</v>
      </c>
      <c r="Y8" s="10">
        <v>215.96</v>
      </c>
      <c r="Z8" s="10">
        <v>209.64</v>
      </c>
      <c r="AA8" s="10">
        <v>210.58</v>
      </c>
      <c r="AB8" s="94">
        <v>2924700</v>
      </c>
      <c r="AC8" s="10">
        <v>210.58</v>
      </c>
      <c r="AD8" s="2">
        <f t="shared" si="0"/>
        <v>6.3200000000000216</v>
      </c>
      <c r="AE8" s="137">
        <f t="shared" si="1"/>
        <v>-1.6716473664549758E-2</v>
      </c>
    </row>
    <row r="9" spans="1:31" x14ac:dyDescent="0.25">
      <c r="B9" s="37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67"/>
      <c r="W9" s="132">
        <v>42788</v>
      </c>
      <c r="X9" s="10">
        <v>213</v>
      </c>
      <c r="Y9" s="10">
        <v>214.93</v>
      </c>
      <c r="Z9" s="10">
        <v>211.5</v>
      </c>
      <c r="AA9" s="10">
        <v>214.16</v>
      </c>
      <c r="AB9" s="94">
        <v>2391800</v>
      </c>
      <c r="AC9" s="10">
        <v>214.16</v>
      </c>
      <c r="AD9" s="2">
        <f t="shared" si="0"/>
        <v>3.4300000000000068</v>
      </c>
      <c r="AE9" s="137">
        <f t="shared" si="1"/>
        <v>6.6274970622797191E-3</v>
      </c>
    </row>
    <row r="10" spans="1:31" x14ac:dyDescent="0.25">
      <c r="B10" s="37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42787</v>
      </c>
      <c r="X10" s="10">
        <v>211</v>
      </c>
      <c r="Y10" s="10">
        <v>213.62</v>
      </c>
      <c r="Z10" s="10">
        <v>210.91</v>
      </c>
      <c r="AA10" s="10">
        <v>212.75</v>
      </c>
      <c r="AB10" s="94">
        <v>3032300</v>
      </c>
      <c r="AC10" s="10">
        <v>212.75</v>
      </c>
      <c r="AD10" s="2">
        <f t="shared" si="0"/>
        <v>2.710000000000008</v>
      </c>
      <c r="AE10" s="137">
        <f t="shared" si="1"/>
        <v>1.1121144432298946E-2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VALUE(TRIM(CLEAN(MID(U57, FIND("(", U57)+1, 5))))</f>
        <v>1.8800000000000001E-2</v>
      </c>
      <c r="W11" s="132">
        <v>42783</v>
      </c>
      <c r="X11" s="10">
        <v>209</v>
      </c>
      <c r="Y11" s="10">
        <v>210.41</v>
      </c>
      <c r="Z11" s="10">
        <v>206.82</v>
      </c>
      <c r="AA11" s="10">
        <v>210.41</v>
      </c>
      <c r="AB11" s="94">
        <v>3093200</v>
      </c>
      <c r="AC11" s="10">
        <v>210.41</v>
      </c>
      <c r="AD11" s="2">
        <f t="shared" si="0"/>
        <v>3.5900000000000034</v>
      </c>
      <c r="AE11" s="137">
        <f t="shared" si="1"/>
        <v>1.0711883946584733E-2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42782</v>
      </c>
      <c r="X12" s="10">
        <v>206.46</v>
      </c>
      <c r="Y12" s="10">
        <v>208.22</v>
      </c>
      <c r="Z12" s="10">
        <v>205.18</v>
      </c>
      <c r="AA12" s="10">
        <v>208.18</v>
      </c>
      <c r="AB12" s="94">
        <v>1718800</v>
      </c>
      <c r="AC12" s="10">
        <v>208.18</v>
      </c>
      <c r="AD12" s="2">
        <f t="shared" si="0"/>
        <v>3.039999999999992</v>
      </c>
      <c r="AE12" s="137">
        <f t="shared" si="1"/>
        <v>1.0631584057478438E-2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42781</v>
      </c>
      <c r="X13" s="10">
        <v>205.82</v>
      </c>
      <c r="Y13" s="10">
        <v>206.94</v>
      </c>
      <c r="Z13" s="10">
        <v>204.8</v>
      </c>
      <c r="AA13" s="10">
        <v>205.99</v>
      </c>
      <c r="AB13" s="94">
        <v>1695900</v>
      </c>
      <c r="AC13" s="10">
        <v>205.99</v>
      </c>
      <c r="AD13" s="2">
        <f t="shared" si="0"/>
        <v>2.1399999999999864</v>
      </c>
      <c r="AE13" s="137">
        <f t="shared" si="1"/>
        <v>3.2143378950957313E-3</v>
      </c>
    </row>
    <row r="14" spans="1:31" x14ac:dyDescent="0.25">
      <c r="W14" s="132">
        <v>42780</v>
      </c>
      <c r="X14" s="10">
        <v>206.99</v>
      </c>
      <c r="Y14" s="10">
        <v>207</v>
      </c>
      <c r="Z14" s="10">
        <v>204.8</v>
      </c>
      <c r="AA14" s="10">
        <v>205.33</v>
      </c>
      <c r="AB14" s="94">
        <v>1735700</v>
      </c>
      <c r="AC14" s="10">
        <v>205.33</v>
      </c>
      <c r="AD14" s="2">
        <f t="shared" si="0"/>
        <v>2.1999999999999886</v>
      </c>
      <c r="AE14" s="137">
        <f t="shared" si="1"/>
        <v>-6.6760195442890913E-3</v>
      </c>
    </row>
    <row r="15" spans="1:31" x14ac:dyDescent="0.25">
      <c r="W15" s="132">
        <v>42779</v>
      </c>
      <c r="X15" s="10">
        <v>206.78</v>
      </c>
      <c r="Y15" s="10">
        <v>207.11</v>
      </c>
      <c r="Z15" s="10">
        <v>205.17</v>
      </c>
      <c r="AA15" s="10">
        <v>206.71</v>
      </c>
      <c r="AB15" s="94">
        <v>1244100</v>
      </c>
      <c r="AC15" s="10">
        <v>206.71</v>
      </c>
      <c r="AD15" s="2">
        <f t="shared" si="0"/>
        <v>1.9400000000000261</v>
      </c>
      <c r="AE15" s="137">
        <f t="shared" si="1"/>
        <v>5.7901907356947557E-3</v>
      </c>
    </row>
    <row r="16" spans="1:31" x14ac:dyDescent="0.25">
      <c r="W16" s="132">
        <v>42776</v>
      </c>
      <c r="X16" s="10">
        <v>206</v>
      </c>
      <c r="Y16" s="10">
        <v>206.5</v>
      </c>
      <c r="Z16" s="10">
        <v>203.85</v>
      </c>
      <c r="AA16" s="10">
        <v>205.52</v>
      </c>
      <c r="AB16" s="94">
        <v>2382400</v>
      </c>
      <c r="AC16" s="10">
        <v>205.52</v>
      </c>
      <c r="AD16" s="2">
        <f t="shared" si="0"/>
        <v>2.6500000000000057</v>
      </c>
      <c r="AE16" s="137">
        <f t="shared" si="1"/>
        <v>8.7659491574942905E-4</v>
      </c>
    </row>
    <row r="17" spans="1:31" x14ac:dyDescent="0.25">
      <c r="W17" s="132">
        <v>42775</v>
      </c>
      <c r="X17" s="10">
        <v>207.33</v>
      </c>
      <c r="Y17" s="10">
        <v>207.69</v>
      </c>
      <c r="Z17" s="10">
        <v>203.63</v>
      </c>
      <c r="AA17" s="10">
        <v>205.34</v>
      </c>
      <c r="AB17" s="94">
        <v>2745500</v>
      </c>
      <c r="AC17" s="10">
        <v>205.34</v>
      </c>
      <c r="AD17" s="2">
        <f t="shared" si="0"/>
        <v>4.0600000000000023</v>
      </c>
      <c r="AE17" s="137">
        <f t="shared" si="1"/>
        <v>-7.4919039102904206E-3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42774</v>
      </c>
      <c r="X18" s="10">
        <v>205.97</v>
      </c>
      <c r="Y18" s="10">
        <v>208.75</v>
      </c>
      <c r="Z18" s="10">
        <v>205.16</v>
      </c>
      <c r="AA18" s="10">
        <v>206.89</v>
      </c>
      <c r="AB18" s="94">
        <v>2103100</v>
      </c>
      <c r="AC18" s="10">
        <v>206.89</v>
      </c>
      <c r="AD18" s="2">
        <f t="shared" si="0"/>
        <v>3.5900000000000034</v>
      </c>
      <c r="AE18" s="137">
        <f t="shared" si="1"/>
        <v>4.759360885823849E-3</v>
      </c>
    </row>
    <row r="19" spans="1:31" x14ac:dyDescent="0.25">
      <c r="W19" s="132">
        <v>42773</v>
      </c>
      <c r="X19" s="10">
        <v>207.21</v>
      </c>
      <c r="Y19" s="10">
        <v>207.4</v>
      </c>
      <c r="Z19" s="10">
        <v>204.93</v>
      </c>
      <c r="AA19" s="10">
        <v>205.91</v>
      </c>
      <c r="AB19" s="94">
        <v>2280100</v>
      </c>
      <c r="AC19" s="10">
        <v>205.91</v>
      </c>
      <c r="AD19" s="2">
        <f t="shared" si="0"/>
        <v>2.4699999999999989</v>
      </c>
      <c r="AE19" s="137">
        <f t="shared" si="1"/>
        <v>-3.1467854376452387E-3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42772</v>
      </c>
      <c r="X20" s="10">
        <v>206.15</v>
      </c>
      <c r="Y20" s="10">
        <v>206.66</v>
      </c>
      <c r="Z20" s="10">
        <v>204.3</v>
      </c>
      <c r="AA20" s="10">
        <v>206.56</v>
      </c>
      <c r="AB20" s="94">
        <v>1860000</v>
      </c>
      <c r="AC20" s="10">
        <v>206.56</v>
      </c>
      <c r="AD20" s="2">
        <f t="shared" si="0"/>
        <v>2.3599999999999852</v>
      </c>
      <c r="AE20" s="137">
        <f t="shared" si="1"/>
        <v>1.9402405898332198E-3</v>
      </c>
    </row>
    <row r="21" spans="1:31" x14ac:dyDescent="0.25">
      <c r="B21" s="192"/>
      <c r="C21" s="10"/>
      <c r="D21" s="40"/>
      <c r="E21" s="40"/>
      <c r="F21" s="40"/>
      <c r="G21" s="40"/>
      <c r="H21" s="231"/>
      <c r="W21" s="132">
        <v>42769</v>
      </c>
      <c r="X21" s="10">
        <v>204.95</v>
      </c>
      <c r="Y21" s="10">
        <v>206.6</v>
      </c>
      <c r="Z21" s="10">
        <v>203.03</v>
      </c>
      <c r="AA21" s="10">
        <v>206.16</v>
      </c>
      <c r="AB21" s="94">
        <v>2436700</v>
      </c>
      <c r="AC21" s="10">
        <v>206.16</v>
      </c>
      <c r="AD21" s="2">
        <f t="shared" si="0"/>
        <v>3.5699999999999932</v>
      </c>
      <c r="AE21" s="137">
        <f t="shared" si="1"/>
        <v>1.0340602793432963E-2</v>
      </c>
    </row>
    <row r="22" spans="1:31" x14ac:dyDescent="0.25">
      <c r="B22" s="192"/>
      <c r="C22" s="10"/>
      <c r="D22" s="201"/>
      <c r="E22" s="201"/>
      <c r="F22" s="40"/>
      <c r="G22" s="40"/>
      <c r="H22" s="231"/>
      <c r="W22" s="132">
        <v>42768</v>
      </c>
      <c r="X22" s="10">
        <v>201.97</v>
      </c>
      <c r="Y22" s="10">
        <v>205.03</v>
      </c>
      <c r="Z22" s="10">
        <v>201</v>
      </c>
      <c r="AA22" s="10">
        <v>204.05</v>
      </c>
      <c r="AB22" s="94">
        <v>2266100</v>
      </c>
      <c r="AC22" s="10">
        <v>204.05</v>
      </c>
      <c r="AD22" s="2">
        <f t="shared" si="0"/>
        <v>4.0300000000000011</v>
      </c>
      <c r="AE22" s="137">
        <f t="shared" si="1"/>
        <v>1.7673916245275478E-3</v>
      </c>
    </row>
    <row r="23" spans="1:31" x14ac:dyDescent="0.25">
      <c r="B23" s="10"/>
      <c r="C23" s="10"/>
      <c r="D23" s="40"/>
      <c r="E23" s="40"/>
      <c r="F23" s="40"/>
      <c r="G23" s="40"/>
      <c r="H23" s="231"/>
      <c r="W23" s="132">
        <v>42767</v>
      </c>
      <c r="X23" s="10">
        <v>202.25</v>
      </c>
      <c r="Y23" s="10">
        <v>204.48</v>
      </c>
      <c r="Z23" s="10">
        <v>200.21</v>
      </c>
      <c r="AA23" s="10">
        <v>203.69</v>
      </c>
      <c r="AB23" s="94">
        <v>3115900</v>
      </c>
      <c r="AC23" s="10">
        <v>203.69</v>
      </c>
      <c r="AD23" s="2">
        <f t="shared" si="0"/>
        <v>4.2699999999999818</v>
      </c>
      <c r="AE23" s="137">
        <f t="shared" si="1"/>
        <v>2.1002506265664245E-2</v>
      </c>
    </row>
    <row r="24" spans="1:31" x14ac:dyDescent="0.25">
      <c r="B24" s="10"/>
      <c r="C24" s="10"/>
      <c r="D24" s="40"/>
      <c r="E24" s="40"/>
      <c r="F24" s="40"/>
      <c r="G24" s="40"/>
      <c r="H24" s="231"/>
      <c r="W24" s="132">
        <v>42766</v>
      </c>
      <c r="X24" s="10">
        <v>202.47</v>
      </c>
      <c r="Y24" s="10">
        <v>202.47</v>
      </c>
      <c r="Z24" s="10">
        <v>198.86</v>
      </c>
      <c r="AA24" s="10">
        <v>199.5</v>
      </c>
      <c r="AB24" s="94">
        <v>2666900</v>
      </c>
      <c r="AC24" s="10">
        <v>199.5</v>
      </c>
      <c r="AD24" s="2">
        <f t="shared" si="0"/>
        <v>3.6099999999999852</v>
      </c>
      <c r="AE24" s="137">
        <f t="shared" si="1"/>
        <v>-1.8305284912902287E-2</v>
      </c>
    </row>
    <row r="25" spans="1:31" x14ac:dyDescent="0.25">
      <c r="B25" s="10"/>
      <c r="C25" s="10"/>
      <c r="D25" s="40"/>
      <c r="E25" s="40"/>
      <c r="F25" s="40"/>
      <c r="G25" s="40"/>
      <c r="H25" s="231"/>
      <c r="W25" s="132">
        <v>42765</v>
      </c>
      <c r="X25" s="10">
        <v>204.45</v>
      </c>
      <c r="Y25" s="10">
        <v>204.87</v>
      </c>
      <c r="Z25" s="10">
        <v>200.61</v>
      </c>
      <c r="AA25" s="10">
        <v>203.22</v>
      </c>
      <c r="AB25" s="94">
        <v>3312700</v>
      </c>
      <c r="AC25" s="10">
        <v>203.22</v>
      </c>
      <c r="AD25" s="2">
        <f t="shared" si="0"/>
        <v>4.2599999999999909</v>
      </c>
      <c r="AE25" s="137">
        <f t="shared" si="1"/>
        <v>-1.2104418842059261E-2</v>
      </c>
    </row>
    <row r="26" spans="1:31" x14ac:dyDescent="0.25">
      <c r="B26" s="10"/>
      <c r="C26" s="10"/>
      <c r="D26" s="40"/>
      <c r="E26" s="40"/>
      <c r="F26" s="40"/>
      <c r="G26" s="40"/>
      <c r="H26" s="231"/>
      <c r="W26" s="132">
        <v>42762</v>
      </c>
      <c r="X26" s="10">
        <v>205.38</v>
      </c>
      <c r="Y26" s="10">
        <v>205.79</v>
      </c>
      <c r="Z26" s="10">
        <v>203.54</v>
      </c>
      <c r="AA26" s="10">
        <v>205.71</v>
      </c>
      <c r="AB26" s="94">
        <v>2578000</v>
      </c>
      <c r="AC26" s="10">
        <v>205.71</v>
      </c>
      <c r="AD26" s="2">
        <f t="shared" si="0"/>
        <v>2.25</v>
      </c>
      <c r="AE26" s="137">
        <f t="shared" si="1"/>
        <v>7.5427339961797735E-3</v>
      </c>
    </row>
    <row r="27" spans="1:31" x14ac:dyDescent="0.25">
      <c r="B27" s="10"/>
      <c r="C27" s="10"/>
      <c r="D27" s="40"/>
      <c r="E27" s="40"/>
      <c r="F27" s="40"/>
      <c r="G27" s="40"/>
      <c r="H27" s="231"/>
      <c r="W27" s="132">
        <v>42761</v>
      </c>
      <c r="X27" s="10">
        <v>204.44</v>
      </c>
      <c r="Y27" s="10">
        <v>205.27</v>
      </c>
      <c r="Z27" s="10">
        <v>201.13</v>
      </c>
      <c r="AA27" s="10">
        <v>204.17</v>
      </c>
      <c r="AB27" s="94">
        <v>3882000</v>
      </c>
      <c r="AC27" s="10">
        <v>204.17</v>
      </c>
      <c r="AD27" s="2">
        <f t="shared" si="0"/>
        <v>4.1400000000000148</v>
      </c>
      <c r="AE27" s="137">
        <f t="shared" si="1"/>
        <v>8.3465033583562942E-3</v>
      </c>
    </row>
    <row r="28" spans="1:31" x14ac:dyDescent="0.25">
      <c r="B28" s="10"/>
      <c r="C28" s="10"/>
      <c r="D28" s="40"/>
      <c r="E28" s="40"/>
      <c r="F28" s="40"/>
      <c r="G28" s="40"/>
      <c r="H28" s="231"/>
      <c r="W28" s="132">
        <v>42760</v>
      </c>
      <c r="X28" s="10">
        <v>199.92</v>
      </c>
      <c r="Y28" s="10">
        <v>202.59</v>
      </c>
      <c r="Z28" s="10">
        <v>198.03</v>
      </c>
      <c r="AA28" s="10">
        <v>202.48</v>
      </c>
      <c r="AB28" s="94">
        <v>6088800</v>
      </c>
      <c r="AC28" s="10">
        <v>202.48</v>
      </c>
      <c r="AD28" s="2">
        <f t="shared" si="0"/>
        <v>4.5600000000000023</v>
      </c>
      <c r="AE28" s="137">
        <f t="shared" si="1"/>
        <v>2.3919089759797618E-2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42759</v>
      </c>
      <c r="X29" s="10">
        <v>192.72</v>
      </c>
      <c r="Y29" s="10">
        <v>199.64</v>
      </c>
      <c r="Z29" s="10">
        <v>192.28</v>
      </c>
      <c r="AA29" s="10">
        <v>197.75</v>
      </c>
      <c r="AB29" s="94">
        <v>5988300</v>
      </c>
      <c r="AC29" s="10">
        <v>197.75</v>
      </c>
      <c r="AD29" s="2">
        <f t="shared" si="0"/>
        <v>7.3599999999999852</v>
      </c>
      <c r="AE29" s="137">
        <f t="shared" si="1"/>
        <v>3.5340314136125706E-2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42758</v>
      </c>
      <c r="X30" s="10">
        <v>191.01</v>
      </c>
      <c r="Y30" s="10">
        <v>191.53</v>
      </c>
      <c r="Z30" s="10">
        <v>188.42</v>
      </c>
      <c r="AA30" s="10">
        <v>191</v>
      </c>
      <c r="AB30" s="94">
        <v>3338200</v>
      </c>
      <c r="AC30" s="10">
        <v>191</v>
      </c>
      <c r="AD30" s="2">
        <f t="shared" si="0"/>
        <v>3.1100000000000136</v>
      </c>
      <c r="AE30" s="137">
        <f t="shared" si="1"/>
        <v>-4.1867280720120359E-4</v>
      </c>
    </row>
    <row r="31" spans="1:31" x14ac:dyDescent="0.25">
      <c r="W31" s="132">
        <v>42755</v>
      </c>
      <c r="X31" s="10">
        <v>188.6</v>
      </c>
      <c r="Y31" s="10">
        <v>191.54</v>
      </c>
      <c r="Z31" s="10">
        <v>188.1</v>
      </c>
      <c r="AA31" s="10">
        <v>191.08</v>
      </c>
      <c r="AB31" s="94">
        <v>5734300</v>
      </c>
      <c r="AC31" s="10">
        <v>191.08</v>
      </c>
      <c r="AD31" s="2">
        <f t="shared" si="0"/>
        <v>3.4399999999999977</v>
      </c>
      <c r="AE31" s="137">
        <f t="shared" si="1"/>
        <v>2.9747790472084645E-2</v>
      </c>
    </row>
    <row r="32" spans="1:31" x14ac:dyDescent="0.25">
      <c r="L32" t="s">
        <v>212</v>
      </c>
      <c r="M32" s="2">
        <f>M50+K50-F50</f>
        <v>780.73999999999796</v>
      </c>
      <c r="W32" s="132">
        <v>42754</v>
      </c>
      <c r="X32" s="10">
        <v>185.1</v>
      </c>
      <c r="Y32" s="10">
        <v>186.88</v>
      </c>
      <c r="Z32" s="10">
        <v>184.68</v>
      </c>
      <c r="AA32" s="10">
        <v>185.56</v>
      </c>
      <c r="AB32" s="94">
        <v>4560000</v>
      </c>
      <c r="AC32" s="10">
        <v>185.56</v>
      </c>
      <c r="AD32" s="2">
        <f t="shared" si="0"/>
        <v>2.1999999999999886</v>
      </c>
      <c r="AE32" s="137">
        <f t="shared" si="1"/>
        <v>2.9186033942276701E-3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42753</v>
      </c>
      <c r="X33" s="10">
        <v>180.36</v>
      </c>
      <c r="Y33" s="10">
        <v>185.07</v>
      </c>
      <c r="Z33" s="10">
        <v>180</v>
      </c>
      <c r="AA33" s="10">
        <v>185.02</v>
      </c>
      <c r="AB33" s="94">
        <v>3562000</v>
      </c>
      <c r="AC33" s="10">
        <v>185.02</v>
      </c>
      <c r="AD33" s="2">
        <f t="shared" si="0"/>
        <v>5.0699999999999932</v>
      </c>
      <c r="AE33" s="137">
        <f t="shared" si="1"/>
        <v>3.2996482608452782E-2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42752</v>
      </c>
      <c r="X34" s="10">
        <v>179.48</v>
      </c>
      <c r="Y34" s="10">
        <v>179.63</v>
      </c>
      <c r="Z34" s="10">
        <v>177.56</v>
      </c>
      <c r="AA34" s="10">
        <v>179.11</v>
      </c>
      <c r="AB34" s="94">
        <v>2628500</v>
      </c>
      <c r="AC34" s="10">
        <v>179.11</v>
      </c>
      <c r="AD34" s="2">
        <f t="shared" si="0"/>
        <v>2.0699999999999932</v>
      </c>
      <c r="AE34" s="137">
        <f t="shared" si="1"/>
        <v>-7.4258797450815761E-3</v>
      </c>
    </row>
    <row r="35" spans="1:31" x14ac:dyDescent="0.25">
      <c r="A35" s="23" t="s">
        <v>71</v>
      </c>
      <c r="B35" s="714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42748</v>
      </c>
      <c r="X35" s="10">
        <v>178.9</v>
      </c>
      <c r="Y35" s="10">
        <v>180.78</v>
      </c>
      <c r="Z35" s="10">
        <v>178.39</v>
      </c>
      <c r="AA35" s="10">
        <v>180.45</v>
      </c>
      <c r="AB35" s="94">
        <v>2090200</v>
      </c>
      <c r="AC35" s="10">
        <v>180.45</v>
      </c>
      <c r="AD35" s="2">
        <f t="shared" si="0"/>
        <v>2.3900000000000148</v>
      </c>
      <c r="AE35" s="137">
        <f t="shared" si="1"/>
        <v>8.8896343508888531E-3</v>
      </c>
    </row>
    <row r="36" spans="1:31" x14ac:dyDescent="0.25">
      <c r="B36" s="714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42747</v>
      </c>
      <c r="X36" s="10">
        <v>178.09</v>
      </c>
      <c r="Y36" s="10">
        <v>179.1</v>
      </c>
      <c r="Z36" s="10">
        <v>175.4</v>
      </c>
      <c r="AA36" s="10">
        <v>178.86</v>
      </c>
      <c r="AB36" s="94">
        <v>2311000</v>
      </c>
      <c r="AC36" s="10">
        <v>178.86</v>
      </c>
      <c r="AD36" s="2">
        <f t="shared" si="0"/>
        <v>3.6999999999999886</v>
      </c>
      <c r="AE36" s="137">
        <f t="shared" si="1"/>
        <v>-3.1211682086722536E-3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42746</v>
      </c>
      <c r="X37" s="10">
        <v>180.05</v>
      </c>
      <c r="Y37" s="10">
        <v>180.47</v>
      </c>
      <c r="Z37" s="10">
        <v>177.76</v>
      </c>
      <c r="AA37" s="10">
        <v>179.42</v>
      </c>
      <c r="AB37" s="94">
        <v>1873800</v>
      </c>
      <c r="AC37" s="10">
        <v>179.42</v>
      </c>
      <c r="AD37" s="2">
        <f t="shared" si="0"/>
        <v>2.710000000000008</v>
      </c>
      <c r="AE37" s="137">
        <f t="shared" si="1"/>
        <v>-6.3687212715290986E-3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42745</v>
      </c>
      <c r="X38" s="10">
        <v>177.49</v>
      </c>
      <c r="Y38" s="10">
        <v>180.74</v>
      </c>
      <c r="Z38" s="10">
        <v>176.9</v>
      </c>
      <c r="AA38" s="10">
        <v>180.57</v>
      </c>
      <c r="AB38" s="94">
        <v>3018100</v>
      </c>
      <c r="AC38" s="10">
        <v>180.57</v>
      </c>
      <c r="AD38" s="2">
        <f t="shared" si="0"/>
        <v>3.8400000000000034</v>
      </c>
      <c r="AE38" s="137">
        <f t="shared" si="1"/>
        <v>2.0342430920494925E-2</v>
      </c>
    </row>
    <row r="39" spans="1:31" x14ac:dyDescent="0.25">
      <c r="B39" s="714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42744</v>
      </c>
      <c r="X39" s="10">
        <v>176.65</v>
      </c>
      <c r="Y39" s="10">
        <v>178.3</v>
      </c>
      <c r="Z39" s="10">
        <v>176.64</v>
      </c>
      <c r="AA39" s="10">
        <v>176.97</v>
      </c>
      <c r="AB39" s="94">
        <v>2026500</v>
      </c>
      <c r="AC39" s="10">
        <v>176.97</v>
      </c>
      <c r="AD39" s="2">
        <f t="shared" si="0"/>
        <v>1.660000000000025</v>
      </c>
      <c r="AE39" s="137">
        <f t="shared" si="1"/>
        <v>2.1518772297410838E-3</v>
      </c>
    </row>
    <row r="40" spans="1:31" x14ac:dyDescent="0.25">
      <c r="B40" s="715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42741</v>
      </c>
      <c r="X40" s="10">
        <v>174.21</v>
      </c>
      <c r="Y40" s="10">
        <v>176.9</v>
      </c>
      <c r="Z40" s="10">
        <v>173.31</v>
      </c>
      <c r="AA40" s="10">
        <v>176.59</v>
      </c>
      <c r="AB40" s="94">
        <v>2314200</v>
      </c>
      <c r="AC40" s="10">
        <v>176.59</v>
      </c>
      <c r="AD40" s="2">
        <f t="shared" si="0"/>
        <v>3.5900000000000034</v>
      </c>
      <c r="AE40" s="137">
        <f t="shared" si="1"/>
        <v>1.3254532935506047E-2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3" t="s">
        <v>78</v>
      </c>
      <c r="P41" s="703"/>
      <c r="T41" s="90" t="s">
        <v>113</v>
      </c>
      <c r="W41" s="132">
        <v>42740</v>
      </c>
      <c r="X41" s="10">
        <v>176.33</v>
      </c>
      <c r="Y41" s="10">
        <v>177</v>
      </c>
      <c r="Z41" s="10">
        <v>173.88</v>
      </c>
      <c r="AA41" s="10">
        <v>174.28</v>
      </c>
      <c r="AB41" s="94">
        <v>2480300</v>
      </c>
      <c r="AC41" s="10">
        <v>174.28</v>
      </c>
      <c r="AD41" s="2">
        <f t="shared" si="0"/>
        <v>3.1200000000000045</v>
      </c>
      <c r="AE41" s="137">
        <f t="shared" si="1"/>
        <v>-1.5756480487942537E-2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248.98500000000001</v>
      </c>
      <c r="Q42" s="2"/>
      <c r="T42" s="134" t="s">
        <v>98</v>
      </c>
      <c r="U42" s="97">
        <v>217.29</v>
      </c>
      <c r="W42" s="132">
        <v>42739</v>
      </c>
      <c r="X42" s="10">
        <v>178.26</v>
      </c>
      <c r="Y42" s="10">
        <v>179</v>
      </c>
      <c r="Z42" s="10">
        <v>176.68</v>
      </c>
      <c r="AA42" s="10">
        <v>177.07</v>
      </c>
      <c r="AB42" s="94">
        <v>2389100</v>
      </c>
      <c r="AC42" s="10">
        <v>177.07</v>
      </c>
      <c r="AD42" s="2">
        <f t="shared" si="0"/>
        <v>2.3199999999999932</v>
      </c>
      <c r="AE42" s="137">
        <f t="shared" si="1"/>
        <v>-7.1212291129304495E-3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246.72150000000002</v>
      </c>
      <c r="Q43" s="2"/>
      <c r="T43" s="135" t="s">
        <v>99</v>
      </c>
      <c r="U43" s="87">
        <v>218</v>
      </c>
      <c r="W43" s="132">
        <v>42738</v>
      </c>
      <c r="X43" s="10">
        <v>178.29</v>
      </c>
      <c r="Y43" s="10">
        <v>180.9</v>
      </c>
      <c r="Z43" s="10">
        <v>176.54</v>
      </c>
      <c r="AA43" s="10">
        <v>178.34</v>
      </c>
      <c r="AB43" s="94">
        <v>3208700</v>
      </c>
      <c r="AC43" s="10">
        <v>178.34</v>
      </c>
      <c r="AD43" s="2">
        <f t="shared" si="0"/>
        <v>4.3600000000000136</v>
      </c>
      <c r="AE43" s="137">
        <f t="shared" si="1"/>
        <v>8.881597556146259E-3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244.458</v>
      </c>
      <c r="Q44" s="2"/>
      <c r="T44" s="135" t="s">
        <v>100</v>
      </c>
      <c r="U44" s="87" t="s">
        <v>697</v>
      </c>
      <c r="W44" s="132">
        <v>42734</v>
      </c>
      <c r="X44" s="10">
        <v>180.37</v>
      </c>
      <c r="Y44" s="10">
        <v>180.9</v>
      </c>
      <c r="Z44" s="10">
        <v>176.02</v>
      </c>
      <c r="AA44" s="10">
        <v>176.77</v>
      </c>
      <c r="AB44" s="94">
        <v>2542100</v>
      </c>
      <c r="AC44" s="10">
        <v>176.77</v>
      </c>
      <c r="AD44" s="2">
        <f t="shared" si="0"/>
        <v>4.8799999999999955</v>
      </c>
      <c r="AE44" s="137">
        <f t="shared" si="1"/>
        <v>-1.7234669483515819E-2</v>
      </c>
    </row>
    <row r="45" spans="1:31" x14ac:dyDescent="0.25">
      <c r="O45" s="82">
        <v>1.07</v>
      </c>
      <c r="P45" s="82">
        <f t="shared" si="3"/>
        <v>242.19450000000001</v>
      </c>
      <c r="Q45" s="2"/>
      <c r="T45" s="135" t="s">
        <v>101</v>
      </c>
      <c r="U45" s="87" t="s">
        <v>698</v>
      </c>
      <c r="W45" s="132">
        <v>42733</v>
      </c>
      <c r="X45" s="10">
        <v>179.7</v>
      </c>
      <c r="Y45" s="10">
        <v>180.67</v>
      </c>
      <c r="Z45" s="10">
        <v>178.63</v>
      </c>
      <c r="AA45" s="10">
        <v>179.87</v>
      </c>
      <c r="AB45" s="94">
        <v>1367100</v>
      </c>
      <c r="AC45" s="10">
        <v>179.87</v>
      </c>
      <c r="AD45" s="2">
        <f t="shared" si="0"/>
        <v>2.039999999999992</v>
      </c>
      <c r="AE45" s="137">
        <f t="shared" si="1"/>
        <v>-1.7759032132748098E-3</v>
      </c>
    </row>
    <row r="46" spans="1:31" x14ac:dyDescent="0.25">
      <c r="O46" s="82">
        <v>1.06</v>
      </c>
      <c r="P46" s="82">
        <f t="shared" si="3"/>
        <v>239.93100000000001</v>
      </c>
      <c r="Q46" s="2"/>
      <c r="T46" s="135" t="s">
        <v>102</v>
      </c>
      <c r="U46" s="87">
        <v>244.19</v>
      </c>
      <c r="W46" s="132">
        <v>42732</v>
      </c>
      <c r="X46" s="10">
        <v>182.64</v>
      </c>
      <c r="Y46" s="10">
        <v>183</v>
      </c>
      <c r="Z46" s="10">
        <v>179.84</v>
      </c>
      <c r="AA46" s="10">
        <v>180.19</v>
      </c>
      <c r="AB46" s="94">
        <v>1387500</v>
      </c>
      <c r="AC46" s="10">
        <v>180.19</v>
      </c>
      <c r="AD46" s="2">
        <f t="shared" si="0"/>
        <v>3.1599999999999966</v>
      </c>
      <c r="AE46" s="137">
        <f t="shared" si="1"/>
        <v>-1.162854478635289E-2</v>
      </c>
    </row>
    <row r="47" spans="1:31" x14ac:dyDescent="0.25">
      <c r="O47" s="82">
        <v>1.05</v>
      </c>
      <c r="P47" s="82">
        <f t="shared" si="3"/>
        <v>237.66750000000002</v>
      </c>
      <c r="Q47" s="2"/>
      <c r="T47" s="135" t="s">
        <v>103</v>
      </c>
      <c r="U47" s="87">
        <v>1.12201</v>
      </c>
      <c r="W47" s="132">
        <v>42731</v>
      </c>
      <c r="X47" s="10">
        <v>182.11</v>
      </c>
      <c r="Y47" s="10">
        <v>183.7</v>
      </c>
      <c r="Z47" s="10">
        <v>182.05</v>
      </c>
      <c r="AA47" s="10">
        <v>182.31</v>
      </c>
      <c r="AB47" s="94">
        <v>828300</v>
      </c>
      <c r="AC47" s="10">
        <v>182.31</v>
      </c>
      <c r="AD47" s="2">
        <f t="shared" si="0"/>
        <v>1.6499999999999773</v>
      </c>
      <c r="AE47" s="137">
        <f t="shared" si="1"/>
        <v>2.0336374628999732E-3</v>
      </c>
    </row>
    <row r="48" spans="1:31" x14ac:dyDescent="0.25">
      <c r="O48" s="82">
        <v>1.04</v>
      </c>
      <c r="P48" s="82">
        <f t="shared" si="3"/>
        <v>235.404</v>
      </c>
      <c r="Q48" s="2"/>
      <c r="T48" s="135" t="s">
        <v>104</v>
      </c>
      <c r="U48" s="87" t="s">
        <v>129</v>
      </c>
      <c r="W48" s="132">
        <v>42727</v>
      </c>
      <c r="X48" s="10">
        <v>180.05</v>
      </c>
      <c r="Y48" s="10">
        <v>181.98</v>
      </c>
      <c r="Z48" s="10">
        <v>179.66</v>
      </c>
      <c r="AA48" s="10">
        <v>181.94</v>
      </c>
      <c r="AB48" s="94">
        <v>897700</v>
      </c>
      <c r="AC48" s="10">
        <v>181.94</v>
      </c>
      <c r="AD48" s="2">
        <f t="shared" si="0"/>
        <v>2.3199999999999932</v>
      </c>
      <c r="AE48" s="137">
        <f t="shared" si="1"/>
        <v>7.4197120708747732E-3</v>
      </c>
    </row>
    <row r="49" spans="1:31" x14ac:dyDescent="0.25">
      <c r="O49" s="82">
        <v>1.03</v>
      </c>
      <c r="P49" s="82">
        <f t="shared" si="3"/>
        <v>233.1405</v>
      </c>
      <c r="Q49" s="2"/>
      <c r="T49" s="135"/>
      <c r="U49" s="87"/>
      <c r="W49" s="132">
        <v>42726</v>
      </c>
      <c r="X49" s="10">
        <v>182.85</v>
      </c>
      <c r="Y49" s="10">
        <v>183</v>
      </c>
      <c r="Z49" s="10">
        <v>179.38</v>
      </c>
      <c r="AA49" s="10">
        <v>180.6</v>
      </c>
      <c r="AB49" s="94">
        <v>1755700</v>
      </c>
      <c r="AC49" s="10">
        <v>180.6</v>
      </c>
      <c r="AD49" s="2">
        <f t="shared" si="0"/>
        <v>3.6200000000000045</v>
      </c>
      <c r="AE49" s="137">
        <f t="shared" si="1"/>
        <v>-9.2709419057545039E-3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230.87700000000001</v>
      </c>
      <c r="Q50" s="2"/>
      <c r="T50" s="135" t="s">
        <v>105</v>
      </c>
      <c r="U50" s="87" t="s">
        <v>699</v>
      </c>
      <c r="W50" s="132">
        <v>42725</v>
      </c>
      <c r="X50" s="10">
        <v>183.73</v>
      </c>
      <c r="Y50" s="10">
        <v>183.99</v>
      </c>
      <c r="Z50" s="10">
        <v>181.78</v>
      </c>
      <c r="AA50" s="10">
        <v>182.29</v>
      </c>
      <c r="AB50" s="94">
        <v>2101300</v>
      </c>
      <c r="AC50" s="10">
        <v>182.29</v>
      </c>
      <c r="AD50" s="2">
        <f t="shared" si="0"/>
        <v>2.210000000000008</v>
      </c>
      <c r="AE50" s="137">
        <f t="shared" si="1"/>
        <v>1.2083264678419692E-3</v>
      </c>
    </row>
    <row r="51" spans="1:31" x14ac:dyDescent="0.25">
      <c r="O51" s="82">
        <v>1.01</v>
      </c>
      <c r="P51" s="82">
        <f t="shared" si="3"/>
        <v>228.61349999999999</v>
      </c>
      <c r="Q51" s="2"/>
      <c r="T51" s="135" t="s">
        <v>106</v>
      </c>
      <c r="U51" s="87" t="s">
        <v>700</v>
      </c>
      <c r="W51" s="132">
        <v>42724</v>
      </c>
      <c r="X51" s="10">
        <v>181</v>
      </c>
      <c r="Y51" s="10">
        <v>183.28</v>
      </c>
      <c r="Z51" s="10">
        <v>180.14</v>
      </c>
      <c r="AA51" s="10">
        <v>182.07</v>
      </c>
      <c r="AB51" s="94">
        <v>2735200</v>
      </c>
      <c r="AC51" s="10">
        <v>182.07</v>
      </c>
      <c r="AD51" s="2">
        <f t="shared" si="0"/>
        <v>3.1400000000000148</v>
      </c>
      <c r="AE51" s="137">
        <f t="shared" si="1"/>
        <v>8.9216446858029208E-3</v>
      </c>
    </row>
    <row r="52" spans="1:31" x14ac:dyDescent="0.25">
      <c r="O52" s="82">
        <v>1</v>
      </c>
      <c r="P52" s="82">
        <f t="shared" si="3"/>
        <v>226.35</v>
      </c>
      <c r="Q52" s="2"/>
      <c r="T52" s="135" t="s">
        <v>107</v>
      </c>
      <c r="U52" s="89">
        <v>3077077</v>
      </c>
      <c r="W52" s="132">
        <v>42723</v>
      </c>
      <c r="X52" s="10">
        <v>179.07</v>
      </c>
      <c r="Y52" s="10">
        <v>181.41</v>
      </c>
      <c r="Z52" s="10">
        <v>178.12</v>
      </c>
      <c r="AA52" s="10">
        <v>180.46</v>
      </c>
      <c r="AB52" s="94">
        <v>2221900</v>
      </c>
      <c r="AC52" s="10">
        <v>180.46</v>
      </c>
      <c r="AD52" s="2">
        <f t="shared" si="0"/>
        <v>3.289999999999992</v>
      </c>
      <c r="AE52" s="137">
        <f t="shared" si="1"/>
        <v>1.1433695774016428E-2</v>
      </c>
    </row>
    <row r="53" spans="1:31" x14ac:dyDescent="0.25">
      <c r="O53" s="82">
        <v>0.99</v>
      </c>
      <c r="P53" s="82">
        <f t="shared" si="3"/>
        <v>224.0865</v>
      </c>
      <c r="Q53" s="2"/>
      <c r="T53" s="135" t="s">
        <v>110</v>
      </c>
      <c r="U53" s="89">
        <v>3062740</v>
      </c>
      <c r="W53" s="132">
        <v>42720</v>
      </c>
      <c r="X53" s="10">
        <v>180.75</v>
      </c>
      <c r="Y53" s="10">
        <v>181.09</v>
      </c>
      <c r="Z53" s="10">
        <v>177.48</v>
      </c>
      <c r="AA53" s="10">
        <v>178.42</v>
      </c>
      <c r="AB53" s="94">
        <v>4154100</v>
      </c>
      <c r="AC53" s="10">
        <v>178.42</v>
      </c>
      <c r="AD53" s="2">
        <f t="shared" si="0"/>
        <v>3.6100000000000136</v>
      </c>
      <c r="AE53" s="137">
        <f t="shared" si="1"/>
        <v>-8.8328426198545085E-3</v>
      </c>
    </row>
    <row r="54" spans="1:31" x14ac:dyDescent="0.25">
      <c r="O54" s="82">
        <v>0.98</v>
      </c>
      <c r="P54" s="82">
        <f t="shared" si="3"/>
        <v>221.82299999999998</v>
      </c>
      <c r="Q54" s="2"/>
      <c r="T54" s="135" t="s">
        <v>108</v>
      </c>
      <c r="U54" s="87" t="s">
        <v>701</v>
      </c>
      <c r="W54" s="132">
        <v>42719</v>
      </c>
      <c r="X54" s="10">
        <v>178.31</v>
      </c>
      <c r="Y54" s="10">
        <v>181.2</v>
      </c>
      <c r="Z54" s="10">
        <v>176.57</v>
      </c>
      <c r="AA54" s="10">
        <v>180.01</v>
      </c>
      <c r="AB54" s="94">
        <v>3810300</v>
      </c>
      <c r="AC54" s="10">
        <v>180.01</v>
      </c>
      <c r="AD54" s="2">
        <f t="shared" si="0"/>
        <v>4.6299999999999955</v>
      </c>
      <c r="AE54" s="137">
        <f t="shared" si="1"/>
        <v>1.345569192658469E-2</v>
      </c>
    </row>
    <row r="55" spans="1:31" x14ac:dyDescent="0.25">
      <c r="O55" s="82">
        <v>0.97</v>
      </c>
      <c r="P55" s="82">
        <f t="shared" si="3"/>
        <v>219.55949999999999</v>
      </c>
      <c r="T55" s="135" t="s">
        <v>111</v>
      </c>
      <c r="U55" s="87" t="s">
        <v>129</v>
      </c>
      <c r="W55" s="132">
        <v>42718</v>
      </c>
      <c r="X55" s="10">
        <v>178.75</v>
      </c>
      <c r="Y55" s="10">
        <v>179.22</v>
      </c>
      <c r="Z55" s="10">
        <v>176.23</v>
      </c>
      <c r="AA55" s="10">
        <v>177.62</v>
      </c>
      <c r="AB55" s="94">
        <v>4679500</v>
      </c>
      <c r="AC55" s="10">
        <v>177.62</v>
      </c>
      <c r="AD55" s="2">
        <f t="shared" si="0"/>
        <v>2.9900000000000091</v>
      </c>
      <c r="AE55" s="137" t="e">
        <f t="shared" si="1"/>
        <v>#DIV/0!</v>
      </c>
    </row>
    <row r="56" spans="1:31" x14ac:dyDescent="0.25">
      <c r="O56" s="82">
        <v>0.96</v>
      </c>
      <c r="P56" s="82">
        <f t="shared" si="3"/>
        <v>217.29599999999999</v>
      </c>
      <c r="T56" s="135" t="s">
        <v>112</v>
      </c>
      <c r="U56" s="87">
        <v>-4.75</v>
      </c>
      <c r="W56" s="132">
        <v>42718</v>
      </c>
      <c r="X56" s="10" t="s">
        <v>344</v>
      </c>
      <c r="Y56" s="10"/>
      <c r="Z56" s="10"/>
      <c r="AA56" s="10"/>
      <c r="AB56" s="94"/>
      <c r="AC56" s="10"/>
      <c r="AD56" s="2">
        <f t="shared" si="0"/>
        <v>0</v>
      </c>
      <c r="AE56" s="137">
        <f t="shared" si="1"/>
        <v>-1</v>
      </c>
    </row>
    <row r="57" spans="1:31" x14ac:dyDescent="0.25">
      <c r="O57" s="82">
        <v>0.95</v>
      </c>
      <c r="P57" s="82">
        <f t="shared" si="3"/>
        <v>215.03249999999997</v>
      </c>
      <c r="T57" s="135" t="s">
        <v>109</v>
      </c>
      <c r="U57" s="87" t="s">
        <v>702</v>
      </c>
      <c r="W57" s="132">
        <v>42717</v>
      </c>
      <c r="X57" s="10">
        <v>178.74</v>
      </c>
      <c r="Y57" s="10">
        <v>181.94</v>
      </c>
      <c r="Z57" s="10">
        <v>178</v>
      </c>
      <c r="AA57" s="10">
        <v>179.44</v>
      </c>
      <c r="AB57" s="94">
        <v>6907600</v>
      </c>
      <c r="AC57" s="10">
        <v>178.42</v>
      </c>
      <c r="AD57" s="2">
        <f t="shared" si="0"/>
        <v>3.9399999999999977</v>
      </c>
      <c r="AE57" s="137">
        <f t="shared" si="1"/>
        <v>7.1690657634770893E-3</v>
      </c>
    </row>
    <row r="58" spans="1:31" x14ac:dyDescent="0.25">
      <c r="O58" s="82">
        <v>0.94</v>
      </c>
      <c r="P58" s="82">
        <f t="shared" si="3"/>
        <v>212.76899999999998</v>
      </c>
      <c r="W58" s="132">
        <v>42716</v>
      </c>
      <c r="X58" s="10">
        <v>178.05</v>
      </c>
      <c r="Y58" s="10">
        <v>180.77</v>
      </c>
      <c r="Z58" s="10">
        <v>176.56</v>
      </c>
      <c r="AA58" s="10">
        <v>178.16</v>
      </c>
      <c r="AB58" s="94">
        <v>3719400</v>
      </c>
      <c r="AC58" s="10">
        <v>177.15</v>
      </c>
      <c r="AD58" s="2">
        <f t="shared" si="0"/>
        <v>4.210000000000008</v>
      </c>
      <c r="AE58" s="137">
        <f t="shared" si="1"/>
        <v>-5.1665075532093541E-3</v>
      </c>
    </row>
    <row r="59" spans="1:31" x14ac:dyDescent="0.25">
      <c r="O59" s="82">
        <v>0.93</v>
      </c>
      <c r="P59" s="82">
        <f t="shared" si="3"/>
        <v>210.50550000000001</v>
      </c>
      <c r="W59" s="132">
        <v>42713</v>
      </c>
      <c r="X59" s="10">
        <v>180.95</v>
      </c>
      <c r="Y59" s="10">
        <v>181.9</v>
      </c>
      <c r="Z59" s="10">
        <v>176.9</v>
      </c>
      <c r="AA59" s="10">
        <v>179.09</v>
      </c>
      <c r="AB59" s="94">
        <v>7574400</v>
      </c>
      <c r="AC59" s="10">
        <v>178.07</v>
      </c>
      <c r="AD59" s="2">
        <f t="shared" si="0"/>
        <v>5</v>
      </c>
      <c r="AE59" s="137">
        <f t="shared" si="1"/>
        <v>4.907505596795092E-2</v>
      </c>
    </row>
    <row r="60" spans="1:31" x14ac:dyDescent="0.25">
      <c r="O60" s="82">
        <v>0.92</v>
      </c>
      <c r="P60" s="82">
        <f t="shared" si="3"/>
        <v>208.24199999999999</v>
      </c>
      <c r="W60" s="132">
        <v>42712</v>
      </c>
      <c r="X60" s="10">
        <v>169.55</v>
      </c>
      <c r="Y60" s="10">
        <v>171.38</v>
      </c>
      <c r="Z60" s="10">
        <v>167.51</v>
      </c>
      <c r="AA60" s="10">
        <v>170.71</v>
      </c>
      <c r="AB60" s="94">
        <v>3836100</v>
      </c>
      <c r="AC60" s="10">
        <v>169.74</v>
      </c>
      <c r="AD60" s="2">
        <f t="shared" si="0"/>
        <v>3.8700000000000045</v>
      </c>
      <c r="AE60" s="137">
        <f t="shared" si="1"/>
        <v>1.282892774031863E-2</v>
      </c>
    </row>
    <row r="61" spans="1:31" x14ac:dyDescent="0.25">
      <c r="O61" s="82">
        <v>0.91</v>
      </c>
      <c r="P61" s="82">
        <f t="shared" si="3"/>
        <v>205.9785</v>
      </c>
      <c r="W61" s="132">
        <v>42711</v>
      </c>
      <c r="X61" s="10">
        <v>164.76</v>
      </c>
      <c r="Y61" s="10">
        <v>168.55</v>
      </c>
      <c r="Z61" s="10">
        <v>163.66999999999999</v>
      </c>
      <c r="AA61" s="10">
        <v>168.55</v>
      </c>
      <c r="AB61" s="94">
        <v>3265900</v>
      </c>
      <c r="AC61" s="10">
        <v>167.59</v>
      </c>
      <c r="AD61" s="2">
        <f t="shared" si="0"/>
        <v>4.8800000000000239</v>
      </c>
      <c r="AE61" s="137">
        <f t="shared" si="1"/>
        <v>2.3013063118056509E-2</v>
      </c>
    </row>
    <row r="62" spans="1:31" x14ac:dyDescent="0.25">
      <c r="O62" s="82">
        <v>0.9</v>
      </c>
      <c r="P62" s="82">
        <f t="shared" si="3"/>
        <v>203.715</v>
      </c>
      <c r="W62" s="132">
        <v>42710</v>
      </c>
      <c r="X62" s="10">
        <v>166.81</v>
      </c>
      <c r="Y62" s="10">
        <v>167.97</v>
      </c>
      <c r="Z62" s="10">
        <v>163.44999999999999</v>
      </c>
      <c r="AA62" s="10">
        <v>164.76</v>
      </c>
      <c r="AB62" s="94">
        <v>3918400</v>
      </c>
      <c r="AC62" s="10">
        <v>163.82</v>
      </c>
      <c r="AD62" s="2">
        <f t="shared" si="0"/>
        <v>4.5200000000000102</v>
      </c>
      <c r="AE62" s="137">
        <f t="shared" si="1"/>
        <v>-8.2934802348810788E-3</v>
      </c>
    </row>
    <row r="63" spans="1:31" x14ac:dyDescent="0.25">
      <c r="W63" s="132">
        <v>42709</v>
      </c>
      <c r="X63" s="10">
        <v>166.01</v>
      </c>
      <c r="Y63" s="10">
        <v>166.61</v>
      </c>
      <c r="Z63" s="10">
        <v>162.4</v>
      </c>
      <c r="AA63" s="10">
        <v>166.13</v>
      </c>
      <c r="AB63" s="94">
        <v>2137200</v>
      </c>
      <c r="AC63" s="10">
        <v>165.19</v>
      </c>
      <c r="AD63" s="2">
        <f t="shared" si="0"/>
        <v>4.210000000000008</v>
      </c>
      <c r="AE63" s="137">
        <f t="shared" si="1"/>
        <v>1.1635740094310787E-2</v>
      </c>
    </row>
    <row r="64" spans="1:31" x14ac:dyDescent="0.25">
      <c r="W64" s="132">
        <v>42706</v>
      </c>
      <c r="X64" s="10">
        <v>163.57</v>
      </c>
      <c r="Y64" s="10">
        <v>164.92</v>
      </c>
      <c r="Z64" s="10">
        <v>160.62</v>
      </c>
      <c r="AA64" s="10">
        <v>164.22</v>
      </c>
      <c r="AB64" s="94">
        <v>2694500</v>
      </c>
      <c r="AC64" s="10">
        <v>163.29</v>
      </c>
      <c r="AD64" s="2">
        <f t="shared" si="0"/>
        <v>4.2999999999999829</v>
      </c>
      <c r="AE64" s="137">
        <f t="shared" si="1"/>
        <v>8.8347955022858304E-3</v>
      </c>
    </row>
    <row r="65" spans="23:31" x14ac:dyDescent="0.25">
      <c r="W65" s="132">
        <v>42705</v>
      </c>
      <c r="X65" s="10">
        <v>170.01</v>
      </c>
      <c r="Y65" s="10">
        <v>170.49</v>
      </c>
      <c r="Z65" s="10">
        <v>161.21</v>
      </c>
      <c r="AA65" s="10">
        <v>162.79</v>
      </c>
      <c r="AB65" s="94">
        <v>4638900</v>
      </c>
      <c r="AC65" s="10">
        <v>161.86000000000001</v>
      </c>
      <c r="AD65" s="2">
        <f t="shared" si="0"/>
        <v>9.2800000000000011</v>
      </c>
      <c r="AE65" s="137">
        <f t="shared" si="1"/>
        <v>-4.5186408683341228E-2</v>
      </c>
    </row>
    <row r="66" spans="23:31" x14ac:dyDescent="0.25">
      <c r="W66" s="132">
        <v>42704</v>
      </c>
      <c r="X66" s="10">
        <v>175.12</v>
      </c>
      <c r="Y66" s="10">
        <v>175.9</v>
      </c>
      <c r="Z66" s="10">
        <v>170.44</v>
      </c>
      <c r="AA66" s="10">
        <v>170.49</v>
      </c>
      <c r="AB66" s="94">
        <v>3124900</v>
      </c>
      <c r="AC66" s="10">
        <v>169.52</v>
      </c>
      <c r="AD66" s="2">
        <f t="shared" si="0"/>
        <v>5.460000000000008</v>
      </c>
      <c r="AE66" s="137">
        <f t="shared" si="1"/>
        <v>-2.8260246488965191E-2</v>
      </c>
    </row>
    <row r="67" spans="23:31" x14ac:dyDescent="0.25">
      <c r="W67" s="132">
        <v>42703</v>
      </c>
      <c r="X67" s="10">
        <v>173.86</v>
      </c>
      <c r="Y67" s="10">
        <v>176.98</v>
      </c>
      <c r="Z67" s="10">
        <v>173.43</v>
      </c>
      <c r="AA67" s="10">
        <v>175.45</v>
      </c>
      <c r="AB67" s="94">
        <v>1851400</v>
      </c>
      <c r="AC67" s="10">
        <v>174.45</v>
      </c>
      <c r="AD67" s="2">
        <f>Y67-Z67</f>
        <v>3.5499999999999829</v>
      </c>
      <c r="AE67" s="137">
        <f>AC67/AC68-1</f>
        <v>4.5491189680986199E-3</v>
      </c>
    </row>
    <row r="68" spans="23:31" x14ac:dyDescent="0.25">
      <c r="W68" s="132">
        <v>42702</v>
      </c>
      <c r="X68" s="10">
        <v>176.06</v>
      </c>
      <c r="Y68" s="10">
        <v>177.07</v>
      </c>
      <c r="Z68" s="10">
        <v>174.54</v>
      </c>
      <c r="AA68" s="10">
        <v>174.65</v>
      </c>
      <c r="AB68" s="94">
        <v>2657000</v>
      </c>
      <c r="AC68" s="10">
        <v>173.66</v>
      </c>
      <c r="AD68" s="2">
        <f>Y68-Z68</f>
        <v>2.5300000000000011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47" priority="11">
      <formula>F21&gt;0</formula>
    </cfRule>
    <cfRule type="expression" dxfId="246" priority="12">
      <formula>F21&lt;0</formula>
    </cfRule>
  </conditionalFormatting>
  <conditionalFormatting sqref="H21:H23">
    <cfRule type="expression" dxfId="245" priority="9">
      <formula>H21&gt;0</formula>
    </cfRule>
    <cfRule type="expression" dxfId="244" priority="10">
      <formula>H21&lt;0</formula>
    </cfRule>
  </conditionalFormatting>
  <conditionalFormatting sqref="Q8">
    <cfRule type="expression" dxfId="243" priority="1">
      <formula>Q8&gt;0</formula>
    </cfRule>
    <cfRule type="expression" dxfId="242" priority="2">
      <formula>Q8&lt;0</formula>
    </cfRule>
  </conditionalFormatting>
  <conditionalFormatting sqref="Q7">
    <cfRule type="expression" dxfId="241" priority="3">
      <formula>Q7&gt;0</formula>
    </cfRule>
    <cfRule type="expression" dxfId="24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252</v>
      </c>
      <c r="W2" s="132">
        <v>42797</v>
      </c>
      <c r="X2" s="10">
        <v>73.7</v>
      </c>
      <c r="Y2" s="10">
        <v>75.989999999999995</v>
      </c>
      <c r="Z2" s="10">
        <v>73.44</v>
      </c>
      <c r="AA2" s="10">
        <v>75.59</v>
      </c>
      <c r="AB2" s="94">
        <v>4247200</v>
      </c>
      <c r="AC2" s="10">
        <v>75.59</v>
      </c>
      <c r="AD2" s="2">
        <f>Y2-Z2</f>
        <v>2.5499999999999972</v>
      </c>
      <c r="AE2" s="137">
        <f>AC2/AC3-1</f>
        <v>3.1522925764192244E-2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9">
        <f>IF(Q2=0, Q4, (F18-K18-M18)/Q2)</f>
        <v>72.34</v>
      </c>
      <c r="T3" s="1"/>
      <c r="W3" s="132">
        <v>42796</v>
      </c>
      <c r="X3" s="10">
        <v>74.349999999999994</v>
      </c>
      <c r="Y3" s="10">
        <v>74.739999999999995</v>
      </c>
      <c r="Z3" s="10">
        <v>73.209999999999994</v>
      </c>
      <c r="AA3" s="10">
        <v>73.28</v>
      </c>
      <c r="AB3" s="94">
        <v>2849300</v>
      </c>
      <c r="AC3" s="10">
        <v>73.28</v>
      </c>
      <c r="AD3" s="2">
        <f t="shared" ref="AD3:AD66" si="0">Y3-Z3</f>
        <v>1.5300000000000011</v>
      </c>
      <c r="AE3" s="137">
        <f t="shared" ref="AE3:AE66" si="1">AC3/AC4-1</f>
        <v>-2.7987796790025166E-2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72.34</v>
      </c>
      <c r="R4" s="499">
        <v>-2.8E-3</v>
      </c>
      <c r="T4" s="162"/>
      <c r="W4" s="132">
        <v>42795</v>
      </c>
      <c r="X4" s="10">
        <v>74.64</v>
      </c>
      <c r="Y4" s="10">
        <v>76.650000000000006</v>
      </c>
      <c r="Z4" s="10">
        <v>74.63</v>
      </c>
      <c r="AA4" s="10">
        <v>75.39</v>
      </c>
      <c r="AB4" s="94">
        <v>3694600</v>
      </c>
      <c r="AC4" s="10">
        <v>75.39</v>
      </c>
      <c r="AD4" s="2">
        <f t="shared" si="0"/>
        <v>2.0200000000000102</v>
      </c>
      <c r="AE4" s="137">
        <f t="shared" si="1"/>
        <v>1.7546227561074268E-2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42794</v>
      </c>
      <c r="X5" s="10">
        <v>75.37</v>
      </c>
      <c r="Y5" s="10">
        <v>75.37</v>
      </c>
      <c r="Z5" s="10">
        <v>73.61</v>
      </c>
      <c r="AA5" s="10">
        <v>74.09</v>
      </c>
      <c r="AB5" s="94">
        <v>2993300</v>
      </c>
      <c r="AC5" s="10">
        <v>74.09</v>
      </c>
      <c r="AD5" s="2">
        <f t="shared" si="0"/>
        <v>1.7600000000000051</v>
      </c>
      <c r="AE5" s="137">
        <f t="shared" si="1"/>
        <v>-1.580765143464391E-2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42793</v>
      </c>
      <c r="X6" s="10">
        <v>74.91</v>
      </c>
      <c r="Y6" s="10">
        <v>75.52</v>
      </c>
      <c r="Z6" s="10">
        <v>74.349999999999994</v>
      </c>
      <c r="AA6" s="10">
        <v>75.28</v>
      </c>
      <c r="AB6" s="94">
        <v>1897400</v>
      </c>
      <c r="AC6" s="10">
        <v>75.28</v>
      </c>
      <c r="AD6" s="2">
        <f t="shared" si="0"/>
        <v>1.1700000000000017</v>
      </c>
      <c r="AE6" s="137">
        <f t="shared" si="1"/>
        <v>2.6638252530635231E-3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42790</v>
      </c>
      <c r="X7" s="10">
        <v>73.959999999999994</v>
      </c>
      <c r="Y7" s="10">
        <v>75.11</v>
      </c>
      <c r="Z7" s="10">
        <v>73.540000000000006</v>
      </c>
      <c r="AA7" s="10">
        <v>75.08</v>
      </c>
      <c r="AB7" s="94">
        <v>2047500</v>
      </c>
      <c r="AC7" s="10">
        <v>75.08</v>
      </c>
      <c r="AD7" s="2">
        <f t="shared" si="0"/>
        <v>1.5699999999999932</v>
      </c>
      <c r="AE7" s="137">
        <f t="shared" si="1"/>
        <v>6.9742489270385732E-3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42789</v>
      </c>
      <c r="X8" s="10">
        <v>75.87</v>
      </c>
      <c r="Y8" s="10">
        <v>76.459999999999994</v>
      </c>
      <c r="Z8" s="10">
        <v>73.88</v>
      </c>
      <c r="AA8" s="10">
        <v>74.56</v>
      </c>
      <c r="AB8" s="94">
        <v>4963700</v>
      </c>
      <c r="AC8" s="10">
        <v>74.56</v>
      </c>
      <c r="AD8" s="2">
        <f t="shared" si="0"/>
        <v>2.5799999999999983</v>
      </c>
      <c r="AE8" s="137">
        <f t="shared" si="1"/>
        <v>-1.1533872464536743E-2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7">
        <f>IF(Q2=0, 0, Q8/Q6)</f>
        <v>0</v>
      </c>
      <c r="W9" s="132">
        <v>42788</v>
      </c>
      <c r="X9" s="10">
        <v>75.209999999999994</v>
      </c>
      <c r="Y9" s="10">
        <v>75.569999999999993</v>
      </c>
      <c r="Z9" s="10">
        <v>74.349999999999994</v>
      </c>
      <c r="AA9" s="10">
        <v>75.430000000000007</v>
      </c>
      <c r="AB9" s="94">
        <v>1700700</v>
      </c>
      <c r="AC9" s="10">
        <v>75.430000000000007</v>
      </c>
      <c r="AD9" s="2">
        <f t="shared" si="0"/>
        <v>1.2199999999999989</v>
      </c>
      <c r="AE9" s="137">
        <f t="shared" si="1"/>
        <v>2.6521681474611647E-4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42787</v>
      </c>
      <c r="X10" s="10">
        <v>75.900000000000006</v>
      </c>
      <c r="Y10" s="10">
        <v>76.23</v>
      </c>
      <c r="Z10" s="10">
        <v>74.42</v>
      </c>
      <c r="AA10" s="10">
        <v>75.41</v>
      </c>
      <c r="AB10" s="94">
        <v>2584300</v>
      </c>
      <c r="AC10" s="10">
        <v>75.41</v>
      </c>
      <c r="AD10" s="2">
        <f t="shared" si="0"/>
        <v>1.8100000000000023</v>
      </c>
      <c r="AE10" s="137">
        <f t="shared" si="1"/>
        <v>-7.240652975250117E-3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75.489999999999995</v>
      </c>
      <c r="Y11" s="10">
        <v>75.97</v>
      </c>
      <c r="Z11" s="10">
        <v>74.599999999999994</v>
      </c>
      <c r="AA11" s="10">
        <v>75.959999999999994</v>
      </c>
      <c r="AB11" s="94">
        <v>1876100</v>
      </c>
      <c r="AC11" s="10">
        <v>75.959999999999994</v>
      </c>
      <c r="AD11" s="2">
        <f t="shared" si="0"/>
        <v>1.3700000000000045</v>
      </c>
      <c r="AE11" s="137">
        <f t="shared" si="1"/>
        <v>3.8324302894143791E-3</v>
      </c>
    </row>
    <row r="12" spans="1:31" x14ac:dyDescent="0.25">
      <c r="W12" s="132">
        <v>42782</v>
      </c>
      <c r="X12" s="10">
        <v>75.930000000000007</v>
      </c>
      <c r="Y12" s="10">
        <v>76.3</v>
      </c>
      <c r="Z12" s="10">
        <v>75.099999999999994</v>
      </c>
      <c r="AA12" s="10">
        <v>75.67</v>
      </c>
      <c r="AB12" s="94">
        <v>2195500</v>
      </c>
      <c r="AC12" s="10">
        <v>75.67</v>
      </c>
      <c r="AD12" s="2">
        <f t="shared" si="0"/>
        <v>1.2000000000000028</v>
      </c>
      <c r="AE12" s="137">
        <f t="shared" si="1"/>
        <v>-1.05610561056102E-3</v>
      </c>
    </row>
    <row r="13" spans="1:31" x14ac:dyDescent="0.25">
      <c r="W13" s="132">
        <v>42781</v>
      </c>
      <c r="X13" s="10">
        <v>75.290000000000006</v>
      </c>
      <c r="Y13" s="10">
        <v>76.23</v>
      </c>
      <c r="Z13" s="10">
        <v>74.819999999999993</v>
      </c>
      <c r="AA13" s="10">
        <v>75.75</v>
      </c>
      <c r="AB13" s="94">
        <v>4982900</v>
      </c>
      <c r="AC13" s="10">
        <v>75.75</v>
      </c>
      <c r="AD13" s="2">
        <f t="shared" si="0"/>
        <v>1.4100000000000108</v>
      </c>
      <c r="AE13" s="137">
        <f t="shared" si="1"/>
        <v>2.7257933279088764E-2</v>
      </c>
    </row>
    <row r="14" spans="1:31" x14ac:dyDescent="0.25">
      <c r="W14" s="132">
        <v>42780</v>
      </c>
      <c r="X14" s="10">
        <v>73.44</v>
      </c>
      <c r="Y14" s="10">
        <v>73.88</v>
      </c>
      <c r="Z14" s="10">
        <v>72</v>
      </c>
      <c r="AA14" s="10">
        <v>73.739999999999995</v>
      </c>
      <c r="AB14" s="94">
        <v>2533800</v>
      </c>
      <c r="AC14" s="10">
        <v>73.739999999999995</v>
      </c>
      <c r="AD14" s="2">
        <f t="shared" si="0"/>
        <v>1.8799999999999955</v>
      </c>
      <c r="AE14" s="137">
        <f t="shared" si="1"/>
        <v>-1.3542795232936999E-3</v>
      </c>
    </row>
    <row r="15" spans="1:31" x14ac:dyDescent="0.25">
      <c r="W15" s="132">
        <v>42779</v>
      </c>
      <c r="X15" s="10">
        <v>72.849999999999994</v>
      </c>
      <c r="Y15" s="10">
        <v>74.16</v>
      </c>
      <c r="Z15" s="10">
        <v>72.84</v>
      </c>
      <c r="AA15" s="10">
        <v>73.84</v>
      </c>
      <c r="AB15" s="94">
        <v>3274500</v>
      </c>
      <c r="AC15" s="10">
        <v>73.84</v>
      </c>
      <c r="AD15" s="2">
        <f t="shared" si="0"/>
        <v>1.3199999999999932</v>
      </c>
      <c r="AE15" s="137">
        <f t="shared" si="1"/>
        <v>1.7079889807162685E-2</v>
      </c>
    </row>
    <row r="16" spans="1:31" x14ac:dyDescent="0.25">
      <c r="W16" s="132">
        <v>42776</v>
      </c>
      <c r="X16" s="10">
        <v>73.37</v>
      </c>
      <c r="Y16" s="10">
        <v>73.37</v>
      </c>
      <c r="Z16" s="10">
        <v>72.2</v>
      </c>
      <c r="AA16" s="10">
        <v>72.599999999999994</v>
      </c>
      <c r="AB16" s="94">
        <v>1933800</v>
      </c>
      <c r="AC16" s="10">
        <v>72.599999999999994</v>
      </c>
      <c r="AD16" s="2">
        <f t="shared" si="0"/>
        <v>1.1700000000000017</v>
      </c>
      <c r="AE16" s="137">
        <f t="shared" si="1"/>
        <v>-5.206906001644418E-3</v>
      </c>
    </row>
    <row r="17" spans="1:31" x14ac:dyDescent="0.25">
      <c r="W17" s="132">
        <v>42775</v>
      </c>
      <c r="X17" s="10">
        <v>71.38</v>
      </c>
      <c r="Y17" s="10">
        <v>73.3</v>
      </c>
      <c r="Z17" s="10">
        <v>71.23</v>
      </c>
      <c r="AA17" s="10">
        <v>72.98</v>
      </c>
      <c r="AB17" s="94">
        <v>3743200</v>
      </c>
      <c r="AC17" s="10">
        <v>72.98</v>
      </c>
      <c r="AD17" s="2">
        <f t="shared" si="0"/>
        <v>2.0699999999999932</v>
      </c>
      <c r="AE17" s="137">
        <f t="shared" si="1"/>
        <v>1.7852161785216092E-2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42774</v>
      </c>
      <c r="X18" s="10">
        <v>71.5</v>
      </c>
      <c r="Y18" s="10">
        <v>71.77</v>
      </c>
      <c r="Z18" s="10">
        <v>70.73</v>
      </c>
      <c r="AA18" s="10">
        <v>71.7</v>
      </c>
      <c r="AB18" s="94">
        <v>2967500</v>
      </c>
      <c r="AC18" s="10">
        <v>71.7</v>
      </c>
      <c r="AD18" s="2">
        <f t="shared" si="0"/>
        <v>1.039999999999992</v>
      </c>
      <c r="AE18" s="137">
        <f t="shared" si="1"/>
        <v>5.7511572450552606E-3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SumByColor($A$19,H3:H17)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42773</v>
      </c>
      <c r="X19" s="10">
        <v>73.959999999999994</v>
      </c>
      <c r="Y19" s="10">
        <v>74</v>
      </c>
      <c r="Z19" s="10">
        <v>71.25</v>
      </c>
      <c r="AA19" s="10">
        <v>71.290000000000006</v>
      </c>
      <c r="AB19" s="94">
        <v>4969400</v>
      </c>
      <c r="AC19" s="10">
        <v>71.290000000000006</v>
      </c>
      <c r="AD19" s="2">
        <f t="shared" si="0"/>
        <v>2.75</v>
      </c>
      <c r="AE19" s="137">
        <f t="shared" si="1"/>
        <v>-3.0068027210884307E-2</v>
      </c>
    </row>
    <row r="20" spans="1:31" x14ac:dyDescent="0.25">
      <c r="W20" s="132">
        <v>42772</v>
      </c>
      <c r="X20" s="10">
        <v>73.400000000000006</v>
      </c>
      <c r="Y20" s="10">
        <v>74.78</v>
      </c>
      <c r="Z20" s="10">
        <v>72.78</v>
      </c>
      <c r="AA20" s="10">
        <v>73.5</v>
      </c>
      <c r="AB20" s="94">
        <v>3922800</v>
      </c>
      <c r="AC20" s="10">
        <v>73.5</v>
      </c>
      <c r="AD20" s="2">
        <f t="shared" si="0"/>
        <v>2</v>
      </c>
      <c r="AE20" s="137">
        <f t="shared" si="1"/>
        <v>6.0224473035861426E-3</v>
      </c>
    </row>
    <row r="21" spans="1:31" x14ac:dyDescent="0.25">
      <c r="W21" s="132">
        <v>42769</v>
      </c>
      <c r="X21" s="10">
        <v>72.53</v>
      </c>
      <c r="Y21" s="10">
        <v>73.25</v>
      </c>
      <c r="Z21" s="10">
        <v>72.05</v>
      </c>
      <c r="AA21" s="10">
        <v>73.06</v>
      </c>
      <c r="AB21" s="94">
        <v>2517900</v>
      </c>
      <c r="AC21" s="10">
        <v>73.06</v>
      </c>
      <c r="AD21" s="2">
        <f t="shared" si="0"/>
        <v>1.2000000000000028</v>
      </c>
      <c r="AE21" s="137">
        <f t="shared" si="1"/>
        <v>1.2752980316052209E-2</v>
      </c>
    </row>
    <row r="22" spans="1:31" x14ac:dyDescent="0.25">
      <c r="W22" s="132">
        <v>42768</v>
      </c>
      <c r="X22" s="10">
        <v>70.73</v>
      </c>
      <c r="Y22" s="10">
        <v>72.34</v>
      </c>
      <c r="Z22" s="10">
        <v>70.55</v>
      </c>
      <c r="AA22" s="10">
        <v>72.14</v>
      </c>
      <c r="AB22" s="94">
        <v>3101700</v>
      </c>
      <c r="AC22" s="10">
        <v>72.14</v>
      </c>
      <c r="AD22" s="2">
        <f t="shared" si="0"/>
        <v>1.7900000000000063</v>
      </c>
      <c r="AE22" s="137">
        <f t="shared" si="1"/>
        <v>9.2333519865697156E-3</v>
      </c>
    </row>
    <row r="23" spans="1:31" x14ac:dyDescent="0.25">
      <c r="W23" s="132">
        <v>42767</v>
      </c>
      <c r="X23" s="10">
        <v>70.95</v>
      </c>
      <c r="Y23" s="10">
        <v>71.86</v>
      </c>
      <c r="Z23" s="10">
        <v>70.69</v>
      </c>
      <c r="AA23" s="10">
        <v>71.48</v>
      </c>
      <c r="AB23" s="94">
        <v>3414200</v>
      </c>
      <c r="AC23" s="10">
        <v>71.48</v>
      </c>
      <c r="AD23" s="2">
        <f t="shared" si="0"/>
        <v>1.1700000000000017</v>
      </c>
      <c r="AE23" s="137">
        <f t="shared" si="1"/>
        <v>1.4332340002838118E-2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71.78</v>
      </c>
      <c r="Y24" s="10">
        <v>71.78</v>
      </c>
      <c r="Z24" s="10">
        <v>69.34</v>
      </c>
      <c r="AA24" s="10">
        <v>70.47</v>
      </c>
      <c r="AB24" s="94">
        <v>5445000</v>
      </c>
      <c r="AC24" s="10">
        <v>70.47</v>
      </c>
      <c r="AD24" s="2">
        <f t="shared" si="0"/>
        <v>2.4399999999999977</v>
      </c>
      <c r="AE24" s="137">
        <f t="shared" si="1"/>
        <v>-1.7428890128276642E-2</v>
      </c>
    </row>
    <row r="25" spans="1:31" x14ac:dyDescent="0.25">
      <c r="B25" s="192">
        <v>42485</v>
      </c>
      <c r="C25" s="236">
        <v>80</v>
      </c>
      <c r="D25" s="237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30">
        <f t="shared" ref="H25:H39" si="4">(E25-D25)/D25</f>
        <v>-2.6262626262626779E-3</v>
      </c>
      <c r="I25" s="40"/>
      <c r="W25" s="132">
        <v>42765</v>
      </c>
      <c r="X25" s="10">
        <v>72.989999999999995</v>
      </c>
      <c r="Y25" s="10">
        <v>72.989999999999995</v>
      </c>
      <c r="Z25" s="10">
        <v>70</v>
      </c>
      <c r="AA25" s="10">
        <v>71.72</v>
      </c>
      <c r="AB25" s="94">
        <v>3898300</v>
      </c>
      <c r="AC25" s="10">
        <v>71.72</v>
      </c>
      <c r="AD25" s="2">
        <f t="shared" si="0"/>
        <v>2.9899999999999949</v>
      </c>
      <c r="AE25" s="137">
        <f t="shared" si="1"/>
        <v>-3.628056973931737E-2</v>
      </c>
    </row>
    <row r="26" spans="1:31" x14ac:dyDescent="0.25">
      <c r="B26" s="192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30">
        <f t="shared" si="4"/>
        <v>-2.9090909090909046E-2</v>
      </c>
      <c r="I26" s="40"/>
      <c r="W26" s="132">
        <v>42762</v>
      </c>
      <c r="X26" s="10">
        <v>75.75</v>
      </c>
      <c r="Y26" s="10">
        <v>75.98</v>
      </c>
      <c r="Z26" s="10">
        <v>74.040000000000006</v>
      </c>
      <c r="AA26" s="10">
        <v>74.42</v>
      </c>
      <c r="AB26" s="94">
        <v>4377000</v>
      </c>
      <c r="AC26" s="10">
        <v>74.42</v>
      </c>
      <c r="AD26" s="2">
        <f t="shared" si="0"/>
        <v>1.9399999999999977</v>
      </c>
      <c r="AE26" s="137">
        <f t="shared" si="1"/>
        <v>-1.2735473600424485E-2</v>
      </c>
    </row>
    <row r="27" spans="1:31" x14ac:dyDescent="0.25">
      <c r="B27" s="192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30">
        <f t="shared" si="4"/>
        <v>-6.4911206368646654E-2</v>
      </c>
      <c r="I27" s="40"/>
      <c r="W27" s="132">
        <v>42761</v>
      </c>
      <c r="X27" s="10">
        <v>74.47</v>
      </c>
      <c r="Y27" s="10">
        <v>76</v>
      </c>
      <c r="Z27" s="10">
        <v>74.12</v>
      </c>
      <c r="AA27" s="10">
        <v>75.38</v>
      </c>
      <c r="AB27" s="94">
        <v>5428600</v>
      </c>
      <c r="AC27" s="10">
        <v>75.38</v>
      </c>
      <c r="AD27" s="2">
        <f t="shared" si="0"/>
        <v>1.8799999999999955</v>
      </c>
      <c r="AE27" s="137">
        <f t="shared" si="1"/>
        <v>2.432395705938295E-2</v>
      </c>
    </row>
    <row r="28" spans="1:31" x14ac:dyDescent="0.25">
      <c r="B28" s="192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30">
        <f t="shared" si="4"/>
        <v>-4.4894742438489316E-2</v>
      </c>
      <c r="I28" s="40">
        <v>43.25</v>
      </c>
      <c r="W28" s="132">
        <v>42760</v>
      </c>
      <c r="X28" s="10">
        <v>73.58</v>
      </c>
      <c r="Y28" s="10">
        <v>74.599999999999994</v>
      </c>
      <c r="Z28" s="10">
        <v>73.040000000000006</v>
      </c>
      <c r="AA28" s="10">
        <v>73.59</v>
      </c>
      <c r="AB28" s="94">
        <v>2762500</v>
      </c>
      <c r="AC28" s="10">
        <v>73.59</v>
      </c>
      <c r="AD28" s="2">
        <f t="shared" si="0"/>
        <v>1.5599999999999881</v>
      </c>
      <c r="AE28" s="137">
        <f t="shared" si="1"/>
        <v>5.6026236676687269E-3</v>
      </c>
    </row>
    <row r="29" spans="1:31" x14ac:dyDescent="0.25">
      <c r="B29" s="192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30">
        <f t="shared" si="4"/>
        <v>-5.363904080774079E-2</v>
      </c>
      <c r="I29" s="40"/>
      <c r="W29" s="132">
        <v>42759</v>
      </c>
      <c r="X29" s="10">
        <v>73.08</v>
      </c>
      <c r="Y29" s="10">
        <v>73.58</v>
      </c>
      <c r="Z29" s="10">
        <v>72.66</v>
      </c>
      <c r="AA29" s="10">
        <v>73.180000000000007</v>
      </c>
      <c r="AB29" s="94">
        <v>2654800</v>
      </c>
      <c r="AC29" s="10">
        <v>73.180000000000007</v>
      </c>
      <c r="AD29" s="2">
        <f t="shared" si="0"/>
        <v>0.92000000000000171</v>
      </c>
      <c r="AE29" s="137">
        <f t="shared" si="1"/>
        <v>5.9106529209622671E-3</v>
      </c>
    </row>
    <row r="30" spans="1:31" x14ac:dyDescent="0.25">
      <c r="B30" s="192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30">
        <f t="shared" si="4"/>
        <v>-7.066195700166425E-2</v>
      </c>
      <c r="I30" s="40"/>
      <c r="W30" s="132">
        <v>42758</v>
      </c>
      <c r="X30" s="10">
        <v>74.66</v>
      </c>
      <c r="Y30" s="10">
        <v>75.09</v>
      </c>
      <c r="Z30" s="10">
        <v>72.64</v>
      </c>
      <c r="AA30" s="10">
        <v>72.75</v>
      </c>
      <c r="AB30" s="94">
        <v>4157900</v>
      </c>
      <c r="AC30" s="10">
        <v>72.75</v>
      </c>
      <c r="AD30" s="2">
        <f t="shared" si="0"/>
        <v>2.4500000000000028</v>
      </c>
      <c r="AE30" s="137">
        <f t="shared" si="1"/>
        <v>-3.3094098883572509E-2</v>
      </c>
    </row>
    <row r="31" spans="1:31" x14ac:dyDescent="0.25">
      <c r="B31" s="192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30">
        <f t="shared" si="4"/>
        <v>-4.2004890805964056E-2</v>
      </c>
      <c r="I31" s="40"/>
      <c r="W31" s="132">
        <v>42755</v>
      </c>
      <c r="X31" s="10">
        <v>74.3</v>
      </c>
      <c r="Y31" s="10">
        <v>75.48</v>
      </c>
      <c r="Z31" s="10">
        <v>74.09</v>
      </c>
      <c r="AA31" s="10">
        <v>75.239999999999995</v>
      </c>
      <c r="AB31" s="94">
        <v>2883800</v>
      </c>
      <c r="AC31" s="10">
        <v>75.239999999999995</v>
      </c>
      <c r="AD31" s="2">
        <f t="shared" si="0"/>
        <v>1.3900000000000006</v>
      </c>
      <c r="AE31" s="137">
        <f t="shared" si="1"/>
        <v>1.6482031883274795E-2</v>
      </c>
    </row>
    <row r="32" spans="1:31" x14ac:dyDescent="0.25">
      <c r="B32" s="192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30">
        <f t="shared" si="4"/>
        <v>-5.4741364670719717E-2</v>
      </c>
      <c r="I32" s="40"/>
      <c r="W32" s="132">
        <v>42754</v>
      </c>
      <c r="X32" s="10">
        <v>74.06</v>
      </c>
      <c r="Y32" s="10">
        <v>74.84</v>
      </c>
      <c r="Z32" s="10">
        <v>73.260000000000005</v>
      </c>
      <c r="AA32" s="10">
        <v>74.02</v>
      </c>
      <c r="AB32" s="94">
        <v>2763300</v>
      </c>
      <c r="AC32" s="10">
        <v>74.02</v>
      </c>
      <c r="AD32" s="2">
        <f t="shared" si="0"/>
        <v>1.5799999999999983</v>
      </c>
      <c r="AE32" s="137">
        <f t="shared" si="1"/>
        <v>2.7027027027015649E-4</v>
      </c>
    </row>
    <row r="33" spans="2:31" x14ac:dyDescent="0.25">
      <c r="B33" s="192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30">
        <f t="shared" si="4"/>
        <v>-2.7570220425907684E-2</v>
      </c>
      <c r="I33" s="40"/>
      <c r="W33" s="132">
        <v>42753</v>
      </c>
      <c r="X33" s="10">
        <v>73</v>
      </c>
      <c r="Y33" s="10">
        <v>74.930000000000007</v>
      </c>
      <c r="Z33" s="10">
        <v>72.41</v>
      </c>
      <c r="AA33" s="10">
        <v>74</v>
      </c>
      <c r="AB33" s="94">
        <v>4568900</v>
      </c>
      <c r="AC33" s="10">
        <v>74</v>
      </c>
      <c r="AD33" s="2">
        <f t="shared" si="0"/>
        <v>2.5200000000000102</v>
      </c>
      <c r="AE33" s="137">
        <f t="shared" si="1"/>
        <v>3.5259018171955869E-3</v>
      </c>
    </row>
    <row r="34" spans="2:31" x14ac:dyDescent="0.25">
      <c r="B34" s="192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30">
        <f t="shared" si="4"/>
        <v>-9.3973600599281767E-2</v>
      </c>
      <c r="I34" s="40"/>
      <c r="W34" s="132">
        <v>42752</v>
      </c>
      <c r="X34" s="10">
        <v>73.94</v>
      </c>
      <c r="Y34" s="10">
        <v>75.09</v>
      </c>
      <c r="Z34" s="10">
        <v>73.55</v>
      </c>
      <c r="AA34" s="10">
        <v>73.739999999999995</v>
      </c>
      <c r="AB34" s="94">
        <v>3109800</v>
      </c>
      <c r="AC34" s="10">
        <v>73.739999999999995</v>
      </c>
      <c r="AD34" s="2">
        <f t="shared" si="0"/>
        <v>1.5400000000000063</v>
      </c>
      <c r="AE34" s="137">
        <f t="shared" si="1"/>
        <v>-7.8040904198062311E-3</v>
      </c>
    </row>
    <row r="35" spans="2:31" x14ac:dyDescent="0.25">
      <c r="B35" s="192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30">
        <f t="shared" si="4"/>
        <v>-6.5774632121853957E-2</v>
      </c>
      <c r="I35" s="40"/>
      <c r="W35" s="132">
        <v>42748</v>
      </c>
      <c r="X35" s="10">
        <v>74.03</v>
      </c>
      <c r="Y35" s="10">
        <v>74.75</v>
      </c>
      <c r="Z35" s="10">
        <v>73.89</v>
      </c>
      <c r="AA35" s="10">
        <v>74.319999999999993</v>
      </c>
      <c r="AB35" s="94">
        <v>2149500</v>
      </c>
      <c r="AC35" s="10">
        <v>74.319999999999993</v>
      </c>
      <c r="AD35" s="2">
        <f t="shared" si="0"/>
        <v>0.85999999999999943</v>
      </c>
      <c r="AE35" s="137">
        <f t="shared" si="1"/>
        <v>4.3243243243242802E-3</v>
      </c>
    </row>
    <row r="36" spans="2:31" x14ac:dyDescent="0.25">
      <c r="B36" s="192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30">
        <f t="shared" si="4"/>
        <v>-3.4438226431338814E-2</v>
      </c>
      <c r="I36" s="40"/>
      <c r="W36" s="132">
        <v>42747</v>
      </c>
      <c r="X36" s="10">
        <v>74.64</v>
      </c>
      <c r="Y36" s="10">
        <v>75.64</v>
      </c>
      <c r="Z36" s="10">
        <v>72.900000000000006</v>
      </c>
      <c r="AA36" s="10">
        <v>74</v>
      </c>
      <c r="AB36" s="94">
        <v>4127800</v>
      </c>
      <c r="AC36" s="10">
        <v>74</v>
      </c>
      <c r="AD36" s="2">
        <f t="shared" si="0"/>
        <v>2.7399999999999949</v>
      </c>
      <c r="AE36" s="137">
        <f t="shared" si="1"/>
        <v>-1.3859275053304976E-2</v>
      </c>
    </row>
    <row r="37" spans="2:31" x14ac:dyDescent="0.25">
      <c r="B37" s="192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30">
        <f t="shared" si="4"/>
        <v>-2.948773138183378E-2</v>
      </c>
      <c r="I37" s="40"/>
      <c r="W37" s="132">
        <v>42746</v>
      </c>
      <c r="X37" s="10">
        <v>75.510000000000005</v>
      </c>
      <c r="Y37" s="10">
        <v>76.75</v>
      </c>
      <c r="Z37" s="10">
        <v>74.94</v>
      </c>
      <c r="AA37" s="10">
        <v>75.040000000000006</v>
      </c>
      <c r="AB37" s="94">
        <v>5180000</v>
      </c>
      <c r="AC37" s="10">
        <v>75.040000000000006</v>
      </c>
      <c r="AD37" s="2">
        <f t="shared" si="0"/>
        <v>1.8100000000000023</v>
      </c>
      <c r="AE37" s="137">
        <f t="shared" si="1"/>
        <v>1.873472712462676E-2</v>
      </c>
    </row>
    <row r="38" spans="2:31" x14ac:dyDescent="0.25">
      <c r="B38" s="192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30">
        <f t="shared" si="4"/>
        <v>-6.5170526781272414E-2</v>
      </c>
      <c r="I38" s="40"/>
      <c r="W38" s="132">
        <v>42745</v>
      </c>
      <c r="X38" s="10">
        <v>71.47</v>
      </c>
      <c r="Y38" s="10">
        <v>74.34</v>
      </c>
      <c r="Z38" s="10">
        <v>71.44</v>
      </c>
      <c r="AA38" s="10">
        <v>73.66</v>
      </c>
      <c r="AB38" s="94">
        <v>3356900</v>
      </c>
      <c r="AC38" s="10">
        <v>73.66</v>
      </c>
      <c r="AD38" s="2">
        <f t="shared" si="0"/>
        <v>2.9000000000000057</v>
      </c>
      <c r="AE38" s="137">
        <f t="shared" si="1"/>
        <v>3.338945005611671E-2</v>
      </c>
    </row>
    <row r="39" spans="2:31" x14ac:dyDescent="0.25">
      <c r="B39" s="192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30">
        <f t="shared" si="4"/>
        <v>-0.14637951853543596</v>
      </c>
      <c r="I39" s="40"/>
      <c r="W39" s="132">
        <v>42744</v>
      </c>
      <c r="X39" s="10">
        <v>71.06</v>
      </c>
      <c r="Y39" s="10">
        <v>72</v>
      </c>
      <c r="Z39" s="10">
        <v>70.88</v>
      </c>
      <c r="AA39" s="10">
        <v>71.28</v>
      </c>
      <c r="AB39" s="94">
        <v>1930800</v>
      </c>
      <c r="AC39" s="10">
        <v>71.28</v>
      </c>
      <c r="AD39" s="2">
        <f t="shared" si="0"/>
        <v>1.1200000000000045</v>
      </c>
      <c r="AE39" s="137">
        <f t="shared" si="1"/>
        <v>-1.2610340479193294E-3</v>
      </c>
    </row>
    <row r="40" spans="2:31" ht="20.25" thickBot="1" x14ac:dyDescent="0.35">
      <c r="B40" s="192">
        <v>42549</v>
      </c>
      <c r="C40" s="444">
        <v>450</v>
      </c>
      <c r="D40" s="445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30">
        <f t="shared" ref="H40:H57" si="7">(E40-D40)/D40</f>
        <v>-0.11924456283325108</v>
      </c>
      <c r="I40" s="40"/>
      <c r="O40" s="703" t="s">
        <v>78</v>
      </c>
      <c r="P40" s="703"/>
      <c r="W40" s="132">
        <v>42741</v>
      </c>
      <c r="X40" s="10">
        <v>70.98</v>
      </c>
      <c r="Y40" s="10">
        <v>71.89</v>
      </c>
      <c r="Z40" s="10">
        <v>69.75</v>
      </c>
      <c r="AA40" s="10">
        <v>71.37</v>
      </c>
      <c r="AB40" s="94">
        <v>3648100</v>
      </c>
      <c r="AC40" s="10">
        <v>71.37</v>
      </c>
      <c r="AD40" s="2">
        <f t="shared" si="0"/>
        <v>2.1400000000000006</v>
      </c>
      <c r="AE40" s="137">
        <f t="shared" si="1"/>
        <v>6.2032990272098409E-3</v>
      </c>
    </row>
    <row r="41" spans="2:31" ht="15.75" thickTop="1" x14ac:dyDescent="0.25">
      <c r="B41" s="192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30">
        <f t="shared" si="7"/>
        <v>-8.261237263530162E-2</v>
      </c>
      <c r="I41" s="40"/>
      <c r="O41" s="82">
        <v>1.1000000000000001</v>
      </c>
      <c r="P41" s="82">
        <f>O41*$Q$4</f>
        <v>79.574000000000012</v>
      </c>
      <c r="Q41" s="2"/>
      <c r="W41" s="132">
        <v>42740</v>
      </c>
      <c r="X41" s="10">
        <v>71.989999999999995</v>
      </c>
      <c r="Y41" s="10">
        <v>73</v>
      </c>
      <c r="Z41" s="10">
        <v>70.31</v>
      </c>
      <c r="AA41" s="10">
        <v>70.930000000000007</v>
      </c>
      <c r="AB41" s="94">
        <v>3577600</v>
      </c>
      <c r="AC41" s="10">
        <v>70.930000000000007</v>
      </c>
      <c r="AD41" s="2">
        <f t="shared" si="0"/>
        <v>2.6899999999999977</v>
      </c>
      <c r="AE41" s="137">
        <f t="shared" si="1"/>
        <v>-2.8622295261572006E-2</v>
      </c>
    </row>
    <row r="42" spans="2:31" ht="20.25" thickBot="1" x14ac:dyDescent="0.35">
      <c r="B42" s="192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30">
        <f t="shared" si="7"/>
        <v>-6.4522402167178472E-2</v>
      </c>
      <c r="I42" s="40"/>
      <c r="O42" s="82">
        <v>1.0900000000000001</v>
      </c>
      <c r="P42" s="82">
        <f t="shared" ref="P42:P61" si="8">O42*$Q$4</f>
        <v>78.850600000000014</v>
      </c>
      <c r="Q42" s="2"/>
      <c r="T42" s="90" t="s">
        <v>113</v>
      </c>
      <c r="W42" s="132">
        <v>42739</v>
      </c>
      <c r="X42" s="10">
        <v>72.45</v>
      </c>
      <c r="Y42" s="10">
        <v>73.790000000000006</v>
      </c>
      <c r="Z42" s="10">
        <v>72.45</v>
      </c>
      <c r="AA42" s="10">
        <v>73.02</v>
      </c>
      <c r="AB42" s="94">
        <v>2196800</v>
      </c>
      <c r="AC42" s="10">
        <v>73.02</v>
      </c>
      <c r="AD42" s="2">
        <f t="shared" si="0"/>
        <v>1.3400000000000034</v>
      </c>
      <c r="AE42" s="137">
        <f t="shared" si="1"/>
        <v>4.2635125842387378E-3</v>
      </c>
    </row>
    <row r="43" spans="2:31" ht="15.75" thickTop="1" x14ac:dyDescent="0.25">
      <c r="B43" s="192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30">
        <f t="shared" si="7"/>
        <v>-8.8943862299144777E-2</v>
      </c>
      <c r="I43" s="40"/>
      <c r="O43" s="82">
        <v>1.08</v>
      </c>
      <c r="P43" s="82">
        <f t="shared" si="8"/>
        <v>78.127200000000002</v>
      </c>
      <c r="Q43" s="2"/>
      <c r="T43" s="127" t="s">
        <v>98</v>
      </c>
      <c r="U43" s="97">
        <v>73.28</v>
      </c>
      <c r="W43" s="132">
        <v>42738</v>
      </c>
      <c r="X43" s="10">
        <v>74.02</v>
      </c>
      <c r="Y43" s="10">
        <v>74.02</v>
      </c>
      <c r="Z43" s="10">
        <v>72.150000000000006</v>
      </c>
      <c r="AA43" s="10">
        <v>72.709999999999994</v>
      </c>
      <c r="AB43" s="94">
        <v>2516000</v>
      </c>
      <c r="AC43" s="10">
        <v>72.709999999999994</v>
      </c>
      <c r="AD43" s="2">
        <f t="shared" si="0"/>
        <v>1.8699999999999903</v>
      </c>
      <c r="AE43" s="137">
        <f t="shared" si="1"/>
        <v>-2.3326015367728381E-3</v>
      </c>
    </row>
    <row r="44" spans="2:31" x14ac:dyDescent="0.25">
      <c r="B44" s="192">
        <v>42557</v>
      </c>
      <c r="C44" s="444">
        <v>450</v>
      </c>
      <c r="D44" s="445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30">
        <f t="shared" si="7"/>
        <v>-0.10299678028098951</v>
      </c>
      <c r="I44" s="40"/>
      <c r="O44" s="82">
        <v>1.07</v>
      </c>
      <c r="P44" s="82">
        <f t="shared" si="8"/>
        <v>77.403800000000004</v>
      </c>
      <c r="Q44" s="2"/>
      <c r="T44" s="92" t="s">
        <v>99</v>
      </c>
      <c r="U44" s="87">
        <v>73.7</v>
      </c>
      <c r="W44" s="132">
        <v>42734</v>
      </c>
      <c r="X44" s="10">
        <v>73.430000000000007</v>
      </c>
      <c r="Y44" s="10">
        <v>73.430000000000007</v>
      </c>
      <c r="Z44" s="10">
        <v>72.37</v>
      </c>
      <c r="AA44" s="10">
        <v>72.88</v>
      </c>
      <c r="AB44" s="94">
        <v>1704600</v>
      </c>
      <c r="AC44" s="10">
        <v>72.88</v>
      </c>
      <c r="AD44" s="2">
        <f t="shared" si="0"/>
        <v>1.0600000000000023</v>
      </c>
      <c r="AE44" s="137">
        <f t="shared" si="1"/>
        <v>-5.4585152838428908E-3</v>
      </c>
    </row>
    <row r="45" spans="2:31" x14ac:dyDescent="0.25">
      <c r="B45" s="192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30">
        <f t="shared" si="7"/>
        <v>-5.3480194506625535E-2</v>
      </c>
      <c r="I45" s="40"/>
      <c r="O45" s="82">
        <v>1.06</v>
      </c>
      <c r="P45" s="82">
        <f t="shared" si="8"/>
        <v>76.680400000000006</v>
      </c>
      <c r="Q45" s="2"/>
      <c r="T45" s="92" t="s">
        <v>100</v>
      </c>
      <c r="U45" s="87" t="s">
        <v>129</v>
      </c>
      <c r="W45" s="132">
        <v>42733</v>
      </c>
      <c r="X45" s="10">
        <v>73.53</v>
      </c>
      <c r="Y45" s="10">
        <v>74.19</v>
      </c>
      <c r="Z45" s="10">
        <v>72.930000000000007</v>
      </c>
      <c r="AA45" s="10">
        <v>73.28</v>
      </c>
      <c r="AB45" s="94">
        <v>1272400</v>
      </c>
      <c r="AC45" s="10">
        <v>73.28</v>
      </c>
      <c r="AD45" s="2">
        <f t="shared" si="0"/>
        <v>1.2599999999999909</v>
      </c>
      <c r="AE45" s="137">
        <f t="shared" si="1"/>
        <v>-3.3999728002176433E-3</v>
      </c>
    </row>
    <row r="46" spans="2:31" x14ac:dyDescent="0.25">
      <c r="B46" s="192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30">
        <f t="shared" si="7"/>
        <v>-3.5408535531355541E-2</v>
      </c>
      <c r="I46" s="40"/>
      <c r="O46" s="82">
        <v>1.05</v>
      </c>
      <c r="P46" s="82">
        <f t="shared" si="8"/>
        <v>75.957000000000008</v>
      </c>
      <c r="Q46" s="2"/>
      <c r="T46" s="92" t="s">
        <v>101</v>
      </c>
      <c r="U46" s="87" t="s">
        <v>129</v>
      </c>
      <c r="W46" s="132">
        <v>42732</v>
      </c>
      <c r="X46" s="10">
        <v>75</v>
      </c>
      <c r="Y46" s="10">
        <v>75.180000000000007</v>
      </c>
      <c r="Z46" s="10">
        <v>73.349999999999994</v>
      </c>
      <c r="AA46" s="10">
        <v>73.53</v>
      </c>
      <c r="AB46" s="94">
        <v>1935400</v>
      </c>
      <c r="AC46" s="10">
        <v>73.53</v>
      </c>
      <c r="AD46" s="2">
        <f t="shared" si="0"/>
        <v>1.8300000000000125</v>
      </c>
      <c r="AE46" s="137">
        <f t="shared" si="1"/>
        <v>-1.5267175572519109E-2</v>
      </c>
    </row>
    <row r="47" spans="2:31" x14ac:dyDescent="0.25">
      <c r="B47" s="192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30">
        <f t="shared" si="7"/>
        <v>4.9883093606994312E-2</v>
      </c>
      <c r="I47" s="40"/>
      <c r="O47" s="82">
        <v>1.04</v>
      </c>
      <c r="P47" s="82">
        <f t="shared" si="8"/>
        <v>75.23360000000001</v>
      </c>
      <c r="Q47" s="2"/>
      <c r="T47" s="92" t="s">
        <v>102</v>
      </c>
      <c r="U47" s="87">
        <v>85.44</v>
      </c>
      <c r="W47" s="132">
        <v>42731</v>
      </c>
      <c r="X47" s="10">
        <v>74.78</v>
      </c>
      <c r="Y47" s="10">
        <v>75.22</v>
      </c>
      <c r="Z47" s="10">
        <v>74.5</v>
      </c>
      <c r="AA47" s="10">
        <v>74.67</v>
      </c>
      <c r="AB47" s="94">
        <v>1092400</v>
      </c>
      <c r="AC47" s="10">
        <v>74.67</v>
      </c>
      <c r="AD47" s="2">
        <f t="shared" si="0"/>
        <v>0.71999999999999886</v>
      </c>
      <c r="AE47" s="137">
        <f t="shared" si="1"/>
        <v>-1.6044925792219056E-3</v>
      </c>
    </row>
    <row r="48" spans="2:31" x14ac:dyDescent="0.25">
      <c r="B48" s="192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30">
        <f t="shared" si="7"/>
        <v>9.4936578133857141E-2</v>
      </c>
      <c r="I48" s="40"/>
      <c r="O48" s="82">
        <v>1.03</v>
      </c>
      <c r="P48" s="82">
        <f t="shared" si="8"/>
        <v>74.510200000000012</v>
      </c>
      <c r="Q48" s="2"/>
      <c r="T48" s="92" t="s">
        <v>103</v>
      </c>
      <c r="U48" s="87">
        <v>0.98105900000000001</v>
      </c>
      <c r="W48" s="132">
        <v>42727</v>
      </c>
      <c r="X48" s="10">
        <v>74.400000000000006</v>
      </c>
      <c r="Y48" s="10">
        <v>74.83</v>
      </c>
      <c r="Z48" s="10">
        <v>74.13</v>
      </c>
      <c r="AA48" s="10">
        <v>74.790000000000006</v>
      </c>
      <c r="AB48" s="94">
        <v>1616800</v>
      </c>
      <c r="AC48" s="10">
        <v>74.790000000000006</v>
      </c>
      <c r="AD48" s="2">
        <f t="shared" si="0"/>
        <v>0.70000000000000284</v>
      </c>
      <c r="AE48" s="137">
        <f t="shared" si="1"/>
        <v>8.0873433077235379E-3</v>
      </c>
    </row>
    <row r="49" spans="2:31" x14ac:dyDescent="0.25">
      <c r="B49" s="192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30">
        <f t="shared" si="7"/>
        <v>9.8149554887970336E-2</v>
      </c>
      <c r="I49" s="40"/>
      <c r="O49" s="82">
        <v>1.02</v>
      </c>
      <c r="P49" s="82">
        <f t="shared" si="8"/>
        <v>73.786799999999999</v>
      </c>
      <c r="Q49" s="2"/>
      <c r="T49" s="92" t="s">
        <v>122</v>
      </c>
      <c r="U49" s="87" t="s">
        <v>382</v>
      </c>
      <c r="W49" s="132">
        <v>42726</v>
      </c>
      <c r="X49" s="10">
        <v>75.62</v>
      </c>
      <c r="Y49" s="10">
        <v>75.73</v>
      </c>
      <c r="Z49" s="10">
        <v>73.8</v>
      </c>
      <c r="AA49" s="10">
        <v>74.19</v>
      </c>
      <c r="AB49" s="94">
        <v>2292700</v>
      </c>
      <c r="AC49" s="10">
        <v>74.19</v>
      </c>
      <c r="AD49" s="2">
        <f t="shared" si="0"/>
        <v>1.9300000000000068</v>
      </c>
      <c r="AE49" s="137">
        <f t="shared" si="1"/>
        <v>-2.0206022187004735E-2</v>
      </c>
    </row>
    <row r="50" spans="2:31" x14ac:dyDescent="0.25">
      <c r="B50" s="192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30">
        <f t="shared" si="7"/>
        <v>0.10847698016904833</v>
      </c>
      <c r="I50" s="40"/>
      <c r="O50" s="82">
        <v>1.01</v>
      </c>
      <c r="P50" s="82">
        <f t="shared" si="8"/>
        <v>73.063400000000001</v>
      </c>
      <c r="Q50" s="2"/>
      <c r="T50" s="92"/>
      <c r="U50" s="87"/>
      <c r="W50" s="132">
        <v>42725</v>
      </c>
      <c r="X50" s="10">
        <v>75.73</v>
      </c>
      <c r="Y50" s="10">
        <v>76.099999999999994</v>
      </c>
      <c r="Z50" s="10">
        <v>75.16</v>
      </c>
      <c r="AA50" s="10">
        <v>75.72</v>
      </c>
      <c r="AB50" s="94">
        <v>1542100</v>
      </c>
      <c r="AC50" s="10">
        <v>75.72</v>
      </c>
      <c r="AD50" s="2">
        <f t="shared" si="0"/>
        <v>0.93999999999999773</v>
      </c>
      <c r="AE50" s="137">
        <f t="shared" si="1"/>
        <v>-4.3392504930965803E-3</v>
      </c>
    </row>
    <row r="51" spans="2:31" x14ac:dyDescent="0.25">
      <c r="B51" s="192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30">
        <f t="shared" si="7"/>
        <v>7.0839252478008166E-2</v>
      </c>
      <c r="I51" s="40"/>
      <c r="O51" s="82">
        <v>1</v>
      </c>
      <c r="P51" s="82">
        <f t="shared" si="8"/>
        <v>72.34</v>
      </c>
      <c r="Q51" s="2"/>
      <c r="T51" s="92" t="s">
        <v>105</v>
      </c>
      <c r="U51" s="87" t="s">
        <v>745</v>
      </c>
      <c r="W51" s="132">
        <v>42724</v>
      </c>
      <c r="X51" s="10">
        <v>75.319999999999993</v>
      </c>
      <c r="Y51" s="10">
        <v>76.31</v>
      </c>
      <c r="Z51" s="10">
        <v>74.78</v>
      </c>
      <c r="AA51" s="10">
        <v>76.05</v>
      </c>
      <c r="AB51" s="94">
        <v>2814900</v>
      </c>
      <c r="AC51" s="10">
        <v>76.05</v>
      </c>
      <c r="AD51" s="2">
        <f t="shared" si="0"/>
        <v>1.5300000000000011</v>
      </c>
      <c r="AE51" s="137">
        <f t="shared" si="1"/>
        <v>2.1079484425349015E-2</v>
      </c>
    </row>
    <row r="52" spans="2:31" x14ac:dyDescent="0.25">
      <c r="B52" s="192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30">
        <f t="shared" si="7"/>
        <v>9.1723601379743946E-2</v>
      </c>
      <c r="I52" s="40"/>
      <c r="O52" s="82">
        <v>0.99</v>
      </c>
      <c r="P52" s="82">
        <f t="shared" si="8"/>
        <v>71.616600000000005</v>
      </c>
      <c r="Q52" s="2"/>
      <c r="T52" s="92" t="s">
        <v>106</v>
      </c>
      <c r="U52" s="87" t="s">
        <v>346</v>
      </c>
      <c r="W52" s="132">
        <v>42723</v>
      </c>
      <c r="X52" s="10">
        <v>74.25</v>
      </c>
      <c r="Y52" s="10">
        <v>75.38</v>
      </c>
      <c r="Z52" s="10">
        <v>73.77</v>
      </c>
      <c r="AA52" s="10">
        <v>74.48</v>
      </c>
      <c r="AB52" s="94">
        <v>2585800</v>
      </c>
      <c r="AC52" s="10">
        <v>74.48</v>
      </c>
      <c r="AD52" s="2">
        <f t="shared" si="0"/>
        <v>1.6099999999999994</v>
      </c>
      <c r="AE52" s="137">
        <f t="shared" si="1"/>
        <v>8.0623488309594649E-4</v>
      </c>
    </row>
    <row r="53" spans="2:31" x14ac:dyDescent="0.25">
      <c r="B53" s="192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30">
        <f t="shared" si="7"/>
        <v>7.6117714288337052E-2</v>
      </c>
      <c r="I53" s="40"/>
      <c r="O53" s="82">
        <v>0.98</v>
      </c>
      <c r="P53" s="82">
        <f t="shared" si="8"/>
        <v>70.893200000000007</v>
      </c>
      <c r="Q53" s="2"/>
      <c r="T53" s="92" t="s">
        <v>107</v>
      </c>
      <c r="U53" s="89">
        <v>4256153</v>
      </c>
      <c r="W53" s="132">
        <v>42720</v>
      </c>
      <c r="X53" s="10">
        <v>74.91</v>
      </c>
      <c r="Y53" s="10">
        <v>76.2</v>
      </c>
      <c r="Z53" s="10">
        <v>74.06</v>
      </c>
      <c r="AA53" s="10">
        <v>74.42</v>
      </c>
      <c r="AB53" s="94">
        <v>6057900</v>
      </c>
      <c r="AC53" s="10">
        <v>74.42</v>
      </c>
      <c r="AD53" s="2">
        <f t="shared" si="0"/>
        <v>2.1400000000000006</v>
      </c>
      <c r="AE53" s="137">
        <f t="shared" si="1"/>
        <v>-4.9471854526006442E-3</v>
      </c>
    </row>
    <row r="54" spans="2:31" x14ac:dyDescent="0.25">
      <c r="B54" s="192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30">
        <f t="shared" si="7"/>
        <v>9.5395574813016068E-2</v>
      </c>
      <c r="I54" s="40"/>
      <c r="O54" s="82">
        <v>0.97</v>
      </c>
      <c r="P54" s="82">
        <f t="shared" si="8"/>
        <v>70.169799999999995</v>
      </c>
      <c r="T54" s="92" t="s">
        <v>110</v>
      </c>
      <c r="U54" s="89">
        <v>3273370</v>
      </c>
      <c r="W54" s="132">
        <v>42719</v>
      </c>
      <c r="X54" s="10">
        <v>73.819999999999993</v>
      </c>
      <c r="Y54" s="10">
        <v>76.8</v>
      </c>
      <c r="Z54" s="10">
        <v>73.819999999999993</v>
      </c>
      <c r="AA54" s="10">
        <v>74.790000000000006</v>
      </c>
      <c r="AB54" s="94">
        <v>4739200</v>
      </c>
      <c r="AC54" s="10">
        <v>74.790000000000006</v>
      </c>
      <c r="AD54" s="2">
        <f t="shared" si="0"/>
        <v>2.980000000000004</v>
      </c>
      <c r="AE54" s="137">
        <f t="shared" si="1"/>
        <v>2.5363312311488917E-2</v>
      </c>
    </row>
    <row r="55" spans="2:31" x14ac:dyDescent="0.25">
      <c r="B55" s="192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30">
        <f t="shared" si="7"/>
        <v>7.6117714288337052E-2</v>
      </c>
      <c r="I55" s="40"/>
      <c r="O55" s="82">
        <v>0.96</v>
      </c>
      <c r="P55" s="82">
        <f t="shared" si="8"/>
        <v>69.446399999999997</v>
      </c>
      <c r="T55" s="92" t="s">
        <v>108</v>
      </c>
      <c r="U55" s="87" t="s">
        <v>746</v>
      </c>
      <c r="W55" s="132">
        <v>42718</v>
      </c>
      <c r="X55" s="10">
        <v>72.599999999999994</v>
      </c>
      <c r="Y55" s="10">
        <v>74</v>
      </c>
      <c r="Z55" s="10">
        <v>72</v>
      </c>
      <c r="AA55" s="10">
        <v>72.94</v>
      </c>
      <c r="AB55" s="94">
        <v>3786600</v>
      </c>
      <c r="AC55" s="10">
        <v>72.94</v>
      </c>
      <c r="AD55" s="2">
        <f t="shared" si="0"/>
        <v>2</v>
      </c>
      <c r="AE55" s="137">
        <f t="shared" si="1"/>
        <v>5.375603032391485E-3</v>
      </c>
    </row>
    <row r="56" spans="2:31" x14ac:dyDescent="0.25">
      <c r="B56" s="192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30">
        <f t="shared" si="7"/>
        <v>1.8972627733038244E-2</v>
      </c>
      <c r="I56" s="40"/>
      <c r="O56" s="82">
        <v>0.95</v>
      </c>
      <c r="P56" s="82">
        <f t="shared" si="8"/>
        <v>68.722999999999999</v>
      </c>
      <c r="T56" s="92" t="s">
        <v>111</v>
      </c>
      <c r="U56" s="87">
        <v>11.04</v>
      </c>
      <c r="W56" s="132">
        <v>42717</v>
      </c>
      <c r="X56" s="10">
        <v>73.38</v>
      </c>
      <c r="Y56" s="10">
        <v>73.98</v>
      </c>
      <c r="Z56" s="10">
        <v>72.14</v>
      </c>
      <c r="AA56" s="10">
        <v>72.55</v>
      </c>
      <c r="AB56" s="94">
        <v>2729400</v>
      </c>
      <c r="AC56" s="10">
        <v>72.55</v>
      </c>
      <c r="AD56" s="2">
        <f t="shared" si="0"/>
        <v>1.8400000000000034</v>
      </c>
      <c r="AE56" s="137">
        <f t="shared" si="1"/>
        <v>-9.4210813762970469E-3</v>
      </c>
    </row>
    <row r="57" spans="2:31" x14ac:dyDescent="0.25">
      <c r="B57" s="192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30">
        <f t="shared" si="7"/>
        <v>0.24429413174662135</v>
      </c>
      <c r="I57" s="40"/>
      <c r="O57" s="82">
        <v>0.94</v>
      </c>
      <c r="P57" s="82">
        <f t="shared" si="8"/>
        <v>67.999600000000001</v>
      </c>
      <c r="T57" s="92" t="s">
        <v>112</v>
      </c>
      <c r="U57" s="87">
        <v>6.85</v>
      </c>
      <c r="W57" s="132">
        <v>42716</v>
      </c>
      <c r="X57" s="10">
        <v>74.3</v>
      </c>
      <c r="Y57" s="10">
        <v>74.36</v>
      </c>
      <c r="Z57" s="10">
        <v>72.69</v>
      </c>
      <c r="AA57" s="10">
        <v>73.239999999999995</v>
      </c>
      <c r="AB57" s="94">
        <v>3107000</v>
      </c>
      <c r="AC57" s="10">
        <v>73.239999999999995</v>
      </c>
      <c r="AD57" s="2">
        <f t="shared" si="0"/>
        <v>1.6700000000000017</v>
      </c>
      <c r="AE57" s="137">
        <f t="shared" si="1"/>
        <v>-2.5675136357589556E-2</v>
      </c>
    </row>
    <row r="58" spans="2:31" x14ac:dyDescent="0.25">
      <c r="B58" s="192">
        <v>42598</v>
      </c>
      <c r="C58" s="10">
        <v>0</v>
      </c>
      <c r="D58" s="40"/>
      <c r="E58" s="40"/>
      <c r="F58" s="40">
        <v>1461.56</v>
      </c>
      <c r="G58" s="40"/>
      <c r="H58" s="230"/>
      <c r="I58" s="40"/>
      <c r="O58" s="82">
        <v>0.93</v>
      </c>
      <c r="P58" s="82">
        <f t="shared" si="8"/>
        <v>67.276200000000003</v>
      </c>
      <c r="T58" s="92" t="s">
        <v>109</v>
      </c>
      <c r="U58" s="87" t="s">
        <v>123</v>
      </c>
      <c r="W58" s="132">
        <v>42713</v>
      </c>
      <c r="X58" s="10">
        <v>75.02</v>
      </c>
      <c r="Y58" s="10">
        <v>76.13</v>
      </c>
      <c r="Z58" s="10">
        <v>74.44</v>
      </c>
      <c r="AA58" s="10">
        <v>75.17</v>
      </c>
      <c r="AB58" s="94">
        <v>5143000</v>
      </c>
      <c r="AC58" s="10">
        <v>75.17</v>
      </c>
      <c r="AD58" s="2">
        <f t="shared" si="0"/>
        <v>1.6899999999999977</v>
      </c>
      <c r="AE58" s="137">
        <f t="shared" si="1"/>
        <v>3.3406653835578837E-2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8"/>
        <v>66.552800000000005</v>
      </c>
      <c r="W59" s="132">
        <v>42712</v>
      </c>
      <c r="X59" s="10">
        <v>72.459999999999994</v>
      </c>
      <c r="Y59" s="10">
        <v>73.08</v>
      </c>
      <c r="Z59" s="10">
        <v>71.5</v>
      </c>
      <c r="AA59" s="10">
        <v>72.739999999999995</v>
      </c>
      <c r="AB59" s="94">
        <v>2861300</v>
      </c>
      <c r="AC59" s="10">
        <v>72.739999999999995</v>
      </c>
      <c r="AD59" s="2">
        <f t="shared" si="0"/>
        <v>1.5799999999999983</v>
      </c>
      <c r="AE59" s="137">
        <f t="shared" si="1"/>
        <v>4.2799944774263299E-3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8"/>
        <v>65.829400000000007</v>
      </c>
      <c r="W60" s="132">
        <v>42711</v>
      </c>
      <c r="X60" s="10">
        <v>70.680000000000007</v>
      </c>
      <c r="Y60" s="10">
        <v>73</v>
      </c>
      <c r="Z60" s="10">
        <v>70.25</v>
      </c>
      <c r="AA60" s="10">
        <v>72.430000000000007</v>
      </c>
      <c r="AB60" s="94">
        <v>4046400</v>
      </c>
      <c r="AC60" s="10">
        <v>72.430000000000007</v>
      </c>
      <c r="AD60" s="2">
        <f t="shared" si="0"/>
        <v>2.75</v>
      </c>
      <c r="AE60" s="137">
        <f t="shared" si="1"/>
        <v>2.0572072706777522E-2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8"/>
        <v>65.106000000000009</v>
      </c>
      <c r="W61" s="132">
        <v>42710</v>
      </c>
      <c r="X61" s="10">
        <v>69.41</v>
      </c>
      <c r="Y61" s="10">
        <v>71.040000000000006</v>
      </c>
      <c r="Z61" s="10">
        <v>69.010000000000005</v>
      </c>
      <c r="AA61" s="10">
        <v>70.97</v>
      </c>
      <c r="AB61" s="94">
        <v>4367900</v>
      </c>
      <c r="AC61" s="10">
        <v>70.97</v>
      </c>
      <c r="AD61" s="2">
        <f t="shared" si="0"/>
        <v>2.0300000000000011</v>
      </c>
      <c r="AE61" s="137">
        <f t="shared" si="1"/>
        <v>3.9701142689715807E-2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42709</v>
      </c>
      <c r="X62" s="10">
        <v>69.91</v>
      </c>
      <c r="Y62" s="10">
        <v>69.95</v>
      </c>
      <c r="Z62" s="10">
        <v>68</v>
      </c>
      <c r="AA62" s="10">
        <v>68.260000000000005</v>
      </c>
      <c r="AB62" s="94">
        <v>3394300</v>
      </c>
      <c r="AC62" s="10">
        <v>68.260000000000005</v>
      </c>
      <c r="AD62" s="2">
        <f t="shared" si="0"/>
        <v>1.9500000000000028</v>
      </c>
      <c r="AE62" s="137">
        <f t="shared" si="1"/>
        <v>-1.4580626533852947E-2</v>
      </c>
    </row>
    <row r="63" spans="2:31" x14ac:dyDescent="0.25">
      <c r="W63" s="132">
        <v>42706</v>
      </c>
      <c r="X63" s="10">
        <v>69.12</v>
      </c>
      <c r="Y63" s="10">
        <v>69.760000000000005</v>
      </c>
      <c r="Z63" s="10">
        <v>68.540000000000006</v>
      </c>
      <c r="AA63" s="10">
        <v>69.27</v>
      </c>
      <c r="AB63" s="94">
        <v>2577300</v>
      </c>
      <c r="AC63" s="10">
        <v>69.27</v>
      </c>
      <c r="AD63" s="2">
        <f t="shared" si="0"/>
        <v>1.2199999999999989</v>
      </c>
      <c r="AE63" s="137">
        <f t="shared" si="1"/>
        <v>1.1683949174821073E-2</v>
      </c>
    </row>
    <row r="64" spans="2:31" x14ac:dyDescent="0.25">
      <c r="W64" s="132">
        <v>42705</v>
      </c>
      <c r="X64" s="10">
        <v>68.67</v>
      </c>
      <c r="Y64" s="10">
        <v>69.87</v>
      </c>
      <c r="Z64" s="10">
        <v>68.3</v>
      </c>
      <c r="AA64" s="10">
        <v>68.47</v>
      </c>
      <c r="AB64" s="94">
        <v>3212700</v>
      </c>
      <c r="AC64" s="10">
        <v>68.47</v>
      </c>
      <c r="AD64" s="2">
        <f t="shared" si="0"/>
        <v>1.5700000000000074</v>
      </c>
      <c r="AE64" s="137">
        <f t="shared" si="1"/>
        <v>-6.9615663524293936E-3</v>
      </c>
    </row>
    <row r="65" spans="1:31" x14ac:dyDescent="0.25">
      <c r="W65" s="132">
        <v>42704</v>
      </c>
      <c r="X65" s="10">
        <v>68.510000000000005</v>
      </c>
      <c r="Y65" s="10">
        <v>69.69</v>
      </c>
      <c r="Z65" s="10">
        <v>67.58</v>
      </c>
      <c r="AA65" s="10">
        <v>68.95</v>
      </c>
      <c r="AB65" s="94">
        <v>4114300</v>
      </c>
      <c r="AC65" s="10">
        <v>68.95</v>
      </c>
      <c r="AD65" s="2">
        <f t="shared" si="0"/>
        <v>2.1099999999999994</v>
      </c>
      <c r="AE65" s="137">
        <f t="shared" si="1"/>
        <v>-1.1044176706827225E-2</v>
      </c>
    </row>
    <row r="66" spans="1:31" x14ac:dyDescent="0.25">
      <c r="W66" s="132">
        <v>42703</v>
      </c>
      <c r="X66" s="10">
        <v>69.17</v>
      </c>
      <c r="Y66" s="10">
        <v>70.150000000000006</v>
      </c>
      <c r="Z66" s="10">
        <v>68.94</v>
      </c>
      <c r="AA66" s="10">
        <v>69.72</v>
      </c>
      <c r="AB66" s="94">
        <v>2450100</v>
      </c>
      <c r="AC66" s="10">
        <v>69.72</v>
      </c>
      <c r="AD66" s="2">
        <f t="shared" si="0"/>
        <v>1.210000000000008</v>
      </c>
      <c r="AE66" s="137">
        <f t="shared" si="1"/>
        <v>6.7870036101083109E-3</v>
      </c>
    </row>
    <row r="67" spans="1:31" x14ac:dyDescent="0.25">
      <c r="W67" s="132">
        <v>42702</v>
      </c>
      <c r="X67" s="10">
        <v>69.95</v>
      </c>
      <c r="Y67" s="10">
        <v>70.150000000000006</v>
      </c>
      <c r="Z67" s="10">
        <v>68.61</v>
      </c>
      <c r="AA67" s="10">
        <v>69.25</v>
      </c>
      <c r="AB67" s="94">
        <v>4966800</v>
      </c>
      <c r="AC67" s="10">
        <v>69.25</v>
      </c>
      <c r="AD67" s="2">
        <f>Y67-Z67</f>
        <v>1.5400000000000063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4" t="s">
        <v>1</v>
      </c>
      <c r="B76" s="384" t="s">
        <v>2</v>
      </c>
      <c r="C76" s="384" t="s">
        <v>4</v>
      </c>
      <c r="D76" s="386" t="s">
        <v>5</v>
      </c>
      <c r="E76" s="386" t="s">
        <v>94</v>
      </c>
      <c r="F76" s="386" t="s">
        <v>60</v>
      </c>
      <c r="G76" s="384" t="s">
        <v>3</v>
      </c>
      <c r="H76" s="384" t="s">
        <v>6</v>
      </c>
      <c r="I76" s="386" t="s">
        <v>7</v>
      </c>
      <c r="J76" s="386" t="s">
        <v>95</v>
      </c>
      <c r="K76" s="386" t="s">
        <v>61</v>
      </c>
      <c r="L76" s="384" t="s">
        <v>37</v>
      </c>
      <c r="M76" s="384" t="s">
        <v>38</v>
      </c>
    </row>
    <row r="77" spans="1:31" x14ac:dyDescent="0.25">
      <c r="A77" s="387" t="s">
        <v>13</v>
      </c>
      <c r="B77" s="377">
        <v>42485</v>
      </c>
      <c r="C77" s="378">
        <v>80</v>
      </c>
      <c r="D77" s="379">
        <v>49.5</v>
      </c>
      <c r="E77" s="379">
        <v>0</v>
      </c>
      <c r="F77" s="379">
        <f t="shared" ref="F77:F85" si="9">D77*C77+E77</f>
        <v>3960</v>
      </c>
      <c r="G77" s="378"/>
      <c r="H77" s="378"/>
      <c r="I77" s="379"/>
      <c r="J77" s="379"/>
      <c r="K77" s="379"/>
      <c r="L77" s="377"/>
      <c r="M77" s="378"/>
    </row>
    <row r="78" spans="1:31" x14ac:dyDescent="0.25">
      <c r="A78" s="388" t="s">
        <v>71</v>
      </c>
      <c r="B78" s="377">
        <v>42489</v>
      </c>
      <c r="C78" s="378">
        <v>20</v>
      </c>
      <c r="D78" s="379">
        <v>46.95</v>
      </c>
      <c r="E78" s="379">
        <v>0</v>
      </c>
      <c r="F78" s="379">
        <f t="shared" si="9"/>
        <v>939</v>
      </c>
      <c r="G78" s="378"/>
      <c r="H78" s="379"/>
      <c r="I78" s="379"/>
      <c r="J78" s="379"/>
      <c r="K78" s="379"/>
      <c r="L78" s="378"/>
      <c r="M78" s="378"/>
    </row>
    <row r="79" spans="1:31" x14ac:dyDescent="0.25">
      <c r="A79" s="378"/>
      <c r="B79" s="377">
        <v>42489</v>
      </c>
      <c r="C79" s="378">
        <v>50</v>
      </c>
      <c r="D79" s="379">
        <v>45.91</v>
      </c>
      <c r="E79" s="379">
        <v>0</v>
      </c>
      <c r="F79" s="379">
        <f t="shared" si="9"/>
        <v>2295.5</v>
      </c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7">
        <v>42495</v>
      </c>
      <c r="C80" s="378">
        <v>25</v>
      </c>
      <c r="D80" s="379">
        <v>45</v>
      </c>
      <c r="E80" s="379">
        <v>0</v>
      </c>
      <c r="F80" s="379">
        <f t="shared" si="9"/>
        <v>1125</v>
      </c>
      <c r="G80" s="377">
        <v>42557</v>
      </c>
      <c r="H80" s="378">
        <v>150</v>
      </c>
      <c r="I80" s="379">
        <v>39.28</v>
      </c>
      <c r="J80" s="379">
        <v>0.13</v>
      </c>
      <c r="K80" s="379">
        <f t="shared" ref="K80:K85" si="10">I80*H80-J80</f>
        <v>5891.87</v>
      </c>
      <c r="L80" s="378"/>
      <c r="M80" s="378"/>
    </row>
    <row r="81" spans="1:13" x14ac:dyDescent="0.25">
      <c r="A81" s="378"/>
      <c r="B81" s="377">
        <v>42502</v>
      </c>
      <c r="C81" s="378">
        <v>25</v>
      </c>
      <c r="D81" s="379">
        <v>44.09</v>
      </c>
      <c r="E81" s="379">
        <v>0</v>
      </c>
      <c r="F81" s="379">
        <f t="shared" si="9"/>
        <v>1102.25</v>
      </c>
      <c r="G81" s="377">
        <v>42562</v>
      </c>
      <c r="H81" s="378">
        <v>50</v>
      </c>
      <c r="I81" s="379">
        <v>42.68</v>
      </c>
      <c r="J81" s="379">
        <v>0.05</v>
      </c>
      <c r="K81" s="379">
        <f t="shared" si="10"/>
        <v>2133.9499999999998</v>
      </c>
      <c r="L81" s="378"/>
      <c r="M81" s="378"/>
    </row>
    <row r="82" spans="1:13" x14ac:dyDescent="0.25">
      <c r="A82" s="378"/>
      <c r="B82" s="377">
        <v>42535</v>
      </c>
      <c r="C82" s="378">
        <v>40</v>
      </c>
      <c r="D82" s="379">
        <v>43.19</v>
      </c>
      <c r="E82" s="379">
        <v>0</v>
      </c>
      <c r="F82" s="379">
        <f t="shared" si="9"/>
        <v>1727.6</v>
      </c>
      <c r="G82" s="377">
        <v>42566</v>
      </c>
      <c r="H82" s="378">
        <v>40</v>
      </c>
      <c r="I82" s="379">
        <v>47.51</v>
      </c>
      <c r="J82" s="379">
        <v>0.04</v>
      </c>
      <c r="K82" s="379">
        <f t="shared" si="10"/>
        <v>1900.36</v>
      </c>
      <c r="L82" s="378"/>
      <c r="M82" s="378"/>
    </row>
    <row r="83" spans="1:13" x14ac:dyDescent="0.25">
      <c r="A83" s="378"/>
      <c r="B83" s="377">
        <v>42545</v>
      </c>
      <c r="C83" s="378">
        <v>100</v>
      </c>
      <c r="D83" s="379">
        <v>42.28</v>
      </c>
      <c r="E83" s="379">
        <v>0</v>
      </c>
      <c r="F83" s="379">
        <f t="shared" si="9"/>
        <v>4228</v>
      </c>
      <c r="G83" s="377">
        <v>42587</v>
      </c>
      <c r="H83" s="378">
        <v>210</v>
      </c>
      <c r="I83" s="379">
        <v>47.58</v>
      </c>
      <c r="J83" s="379">
        <v>0.22</v>
      </c>
      <c r="K83" s="379">
        <f t="shared" si="10"/>
        <v>9991.58</v>
      </c>
      <c r="L83" s="378"/>
      <c r="M83" s="378"/>
    </row>
    <row r="84" spans="1:13" x14ac:dyDescent="0.25">
      <c r="A84" s="378"/>
      <c r="B84" s="377">
        <v>42545</v>
      </c>
      <c r="C84" s="378">
        <v>110</v>
      </c>
      <c r="D84" s="379">
        <v>41.12</v>
      </c>
      <c r="E84" s="379">
        <v>0</v>
      </c>
      <c r="F84" s="379">
        <f t="shared" si="9"/>
        <v>4523.2</v>
      </c>
      <c r="G84" s="377">
        <v>42593</v>
      </c>
      <c r="H84" s="378">
        <v>50</v>
      </c>
      <c r="I84" s="379">
        <v>47.35</v>
      </c>
      <c r="J84" s="379">
        <v>0.05</v>
      </c>
      <c r="K84" s="379">
        <f t="shared" si="10"/>
        <v>2367.4499999999998</v>
      </c>
      <c r="L84" s="378"/>
      <c r="M84" s="378"/>
    </row>
    <row r="85" spans="1:13" x14ac:dyDescent="0.25">
      <c r="A85" s="378"/>
      <c r="B85" s="377">
        <v>42557</v>
      </c>
      <c r="C85" s="378">
        <v>150</v>
      </c>
      <c r="D85" s="379">
        <v>38.08</v>
      </c>
      <c r="E85" s="379">
        <v>0</v>
      </c>
      <c r="F85" s="379">
        <f t="shared" si="9"/>
        <v>5712</v>
      </c>
      <c r="G85" s="377">
        <v>42597</v>
      </c>
      <c r="H85" s="378">
        <v>100</v>
      </c>
      <c r="I85" s="379">
        <v>47.89</v>
      </c>
      <c r="J85" s="379">
        <v>0.1</v>
      </c>
      <c r="K85" s="379">
        <f t="shared" si="10"/>
        <v>4788.8999999999996</v>
      </c>
      <c r="L85" s="378"/>
      <c r="M85" s="378"/>
    </row>
    <row r="86" spans="1:13" x14ac:dyDescent="0.25">
      <c r="A86" s="378"/>
      <c r="B86" s="377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78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78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9"/>
      <c r="E92" s="379"/>
      <c r="F92" s="379"/>
      <c r="G92" s="378"/>
      <c r="H92" s="378"/>
      <c r="I92" s="379"/>
      <c r="J92" s="379"/>
      <c r="K92" s="379"/>
      <c r="L92" s="378"/>
      <c r="M92" s="378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7" t="s">
        <v>197</v>
      </c>
      <c r="B94" s="468"/>
      <c r="C94" s="469">
        <f>SumByColor($A$19,C77:C92)</f>
        <v>0</v>
      </c>
      <c r="D94" s="469"/>
      <c r="E94" s="469"/>
      <c r="F94" s="470">
        <f>SumByColor($A$19,F77:F92)</f>
        <v>0</v>
      </c>
      <c r="G94" s="469"/>
      <c r="H94" s="469">
        <f>SumByColor($A$19,H78:H92)</f>
        <v>0</v>
      </c>
      <c r="I94" s="469"/>
      <c r="J94" s="469"/>
      <c r="K94" s="470">
        <f>SumByColor($A$19,K78:K92)</f>
        <v>0</v>
      </c>
      <c r="L94" s="469"/>
      <c r="M94" s="47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39" priority="15">
      <formula>F29&gt;0</formula>
    </cfRule>
    <cfRule type="expression" dxfId="238" priority="16">
      <formula>F29&lt;0</formula>
    </cfRule>
  </conditionalFormatting>
  <conditionalFormatting sqref="F34:F62">
    <cfRule type="expression" dxfId="237" priority="11">
      <formula>F34&gt;0</formula>
    </cfRule>
    <cfRule type="expression" dxfId="236" priority="12">
      <formula>F34&lt;0</formula>
    </cfRule>
  </conditionalFormatting>
  <conditionalFormatting sqref="F34:F62">
    <cfRule type="expression" dxfId="235" priority="13">
      <formula>F34&gt;0</formula>
    </cfRule>
    <cfRule type="expression" dxfId="234" priority="14">
      <formula>F34&lt;0</formula>
    </cfRule>
  </conditionalFormatting>
  <conditionalFormatting sqref="H29:H62">
    <cfRule type="expression" dxfId="233" priority="9">
      <formula>H29&gt;0</formula>
    </cfRule>
    <cfRule type="expression" dxfId="232" priority="10">
      <formula>H29&lt;0</formula>
    </cfRule>
  </conditionalFormatting>
  <conditionalFormatting sqref="F25:F28">
    <cfRule type="expression" dxfId="231" priority="7">
      <formula>F25&gt;0</formula>
    </cfRule>
    <cfRule type="expression" dxfId="230" priority="8">
      <formula>F25&lt;0</formula>
    </cfRule>
  </conditionalFormatting>
  <conditionalFormatting sqref="H25:H28">
    <cfRule type="expression" dxfId="229" priority="5">
      <formula>H25&gt;0</formula>
    </cfRule>
    <cfRule type="expression" dxfId="228" priority="6">
      <formula>H25&lt;0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conditionalFormatting sqref="Q8">
    <cfRule type="expression" dxfId="225" priority="1">
      <formula>Q8&gt;0</formula>
    </cfRule>
    <cfRule type="expression" dxfId="22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202</v>
      </c>
      <c r="W2" s="132">
        <v>42797</v>
      </c>
      <c r="X2" s="10">
        <v>82.24</v>
      </c>
      <c r="Y2" s="10">
        <v>83</v>
      </c>
      <c r="Z2" s="10">
        <v>81.73</v>
      </c>
      <c r="AA2" s="10">
        <v>82.85</v>
      </c>
      <c r="AB2" s="94">
        <v>1886600</v>
      </c>
      <c r="AC2" s="10">
        <v>82.85</v>
      </c>
      <c r="AD2" s="2">
        <f>Y2-Z2</f>
        <v>1.269999999999996</v>
      </c>
      <c r="AE2" s="137">
        <f>AC2/AC3-1</f>
        <v>1.2960019562293423E-2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82.04</v>
      </c>
      <c r="T3" s="1"/>
      <c r="W3" s="132">
        <v>42796</v>
      </c>
      <c r="X3" s="10">
        <v>81.93</v>
      </c>
      <c r="Y3" s="10">
        <v>82.5</v>
      </c>
      <c r="Z3" s="10">
        <v>81.58</v>
      </c>
      <c r="AA3" s="10">
        <v>81.790000000000006</v>
      </c>
      <c r="AB3" s="94">
        <v>2064200</v>
      </c>
      <c r="AC3" s="10">
        <v>81.790000000000006</v>
      </c>
      <c r="AD3" s="2">
        <f t="shared" ref="AD3:AD66" si="0">Y3-Z3</f>
        <v>0.92000000000000171</v>
      </c>
      <c r="AE3" s="137">
        <f t="shared" ref="AE3:AE66" si="1">AC3/AC4-1</f>
        <v>-3.1687995124922708E-3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82.04</v>
      </c>
      <c r="R4" s="519">
        <v>1.1999999999999999E-3</v>
      </c>
      <c r="T4" s="162"/>
      <c r="U4" s="1"/>
      <c r="W4" s="132">
        <v>42795</v>
      </c>
      <c r="X4" s="10">
        <v>82.18</v>
      </c>
      <c r="Y4" s="10">
        <v>82.51</v>
      </c>
      <c r="Z4" s="10">
        <v>81.72</v>
      </c>
      <c r="AA4" s="10">
        <v>82.05</v>
      </c>
      <c r="AB4" s="94">
        <v>1917400</v>
      </c>
      <c r="AC4" s="10">
        <v>82.05</v>
      </c>
      <c r="AD4" s="2">
        <f t="shared" si="0"/>
        <v>0.79000000000000625</v>
      </c>
      <c r="AE4" s="137">
        <f t="shared" si="1"/>
        <v>8.3568882880666884E-3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82.01</v>
      </c>
      <c r="Y5" s="10">
        <v>82.32</v>
      </c>
      <c r="Z5" s="10">
        <v>81.290000000000006</v>
      </c>
      <c r="AA5" s="10">
        <v>81.37</v>
      </c>
      <c r="AB5" s="94">
        <v>1894900</v>
      </c>
      <c r="AC5" s="10">
        <v>81.37</v>
      </c>
      <c r="AD5" s="2">
        <f t="shared" si="0"/>
        <v>1.0299999999999869</v>
      </c>
      <c r="AE5" s="137">
        <f t="shared" si="1"/>
        <v>-1.3577403321614612E-2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82.14</v>
      </c>
      <c r="Y6" s="10">
        <v>82.62</v>
      </c>
      <c r="Z6" s="10">
        <v>81.900000000000006</v>
      </c>
      <c r="AA6" s="10">
        <v>82.49</v>
      </c>
      <c r="AB6" s="94">
        <v>1363700</v>
      </c>
      <c r="AC6" s="10">
        <v>82.49</v>
      </c>
      <c r="AD6" s="2">
        <f t="shared" si="0"/>
        <v>0.71999999999999886</v>
      </c>
      <c r="AE6" s="137">
        <f t="shared" si="1"/>
        <v>4.2610177745312505E-3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1056.739999999998</v>
      </c>
      <c r="R7">
        <v>0</v>
      </c>
      <c r="W7" s="132">
        <v>42790</v>
      </c>
      <c r="X7" s="10">
        <v>81.540000000000006</v>
      </c>
      <c r="Y7" s="10">
        <v>82.15</v>
      </c>
      <c r="Z7" s="10">
        <v>80.91</v>
      </c>
      <c r="AA7" s="10">
        <v>82.14</v>
      </c>
      <c r="AB7" s="94">
        <v>1319900</v>
      </c>
      <c r="AC7" s="10">
        <v>82.14</v>
      </c>
      <c r="AD7" s="2">
        <f t="shared" si="0"/>
        <v>1.2400000000000091</v>
      </c>
      <c r="AE7" s="137">
        <f t="shared" si="1"/>
        <v>5.0165178025205481E-3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81.3</v>
      </c>
      <c r="Y8" s="10">
        <v>81.849999999999994</v>
      </c>
      <c r="Z8" s="10">
        <v>80.92</v>
      </c>
      <c r="AA8" s="10">
        <v>81.73</v>
      </c>
      <c r="AB8" s="94">
        <v>1728000</v>
      </c>
      <c r="AC8" s="10">
        <v>81.73</v>
      </c>
      <c r="AD8" s="2">
        <f t="shared" si="0"/>
        <v>0.92999999999999261</v>
      </c>
      <c r="AE8" s="137">
        <f t="shared" si="1"/>
        <v>8.0167735569809384E-3</v>
      </c>
    </row>
    <row r="9" spans="1:31" x14ac:dyDescent="0.25"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81.19</v>
      </c>
      <c r="Y9" s="10">
        <v>81.569999999999993</v>
      </c>
      <c r="Z9" s="10">
        <v>80.87</v>
      </c>
      <c r="AA9" s="10">
        <v>81.08</v>
      </c>
      <c r="AB9" s="94">
        <v>1535900</v>
      </c>
      <c r="AC9" s="10">
        <v>81.08</v>
      </c>
      <c r="AD9" s="2">
        <f t="shared" si="0"/>
        <v>0.69999999999998863</v>
      </c>
      <c r="AE9" s="137">
        <f t="shared" si="1"/>
        <v>-3.1964593066142744E-3</v>
      </c>
    </row>
    <row r="10" spans="1:31" x14ac:dyDescent="0.25">
      <c r="H10" s="71"/>
      <c r="O10" s="11" t="s">
        <v>212</v>
      </c>
      <c r="P10" s="34"/>
      <c r="Q10" s="2">
        <f>M67</f>
        <v>1056.739999999998</v>
      </c>
      <c r="W10" s="132">
        <v>42787</v>
      </c>
      <c r="X10" s="10">
        <v>80.5</v>
      </c>
      <c r="Y10" s="10">
        <v>81.510000000000005</v>
      </c>
      <c r="Z10" s="10">
        <v>80.28</v>
      </c>
      <c r="AA10" s="10">
        <v>81.34</v>
      </c>
      <c r="AB10" s="94">
        <v>2091100</v>
      </c>
      <c r="AC10" s="10">
        <v>81.34</v>
      </c>
      <c r="AD10" s="2">
        <f t="shared" si="0"/>
        <v>1.230000000000004</v>
      </c>
      <c r="AE10" s="137">
        <f t="shared" si="1"/>
        <v>7.8057241977451675E-3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2.1999999999999999E-2</v>
      </c>
      <c r="W11" s="132">
        <v>42783</v>
      </c>
      <c r="X11" s="10">
        <v>80</v>
      </c>
      <c r="Y11" s="10">
        <v>80.78</v>
      </c>
      <c r="Z11" s="10">
        <v>79.56</v>
      </c>
      <c r="AA11" s="10">
        <v>80.709999999999994</v>
      </c>
      <c r="AB11" s="94">
        <v>2305900</v>
      </c>
      <c r="AC11" s="10">
        <v>80.709999999999994</v>
      </c>
      <c r="AD11" s="2">
        <f t="shared" si="0"/>
        <v>1.2199999999999989</v>
      </c>
      <c r="AE11" s="137">
        <f t="shared" si="1"/>
        <v>5.8574277168494948E-3</v>
      </c>
    </row>
    <row r="12" spans="1:31" x14ac:dyDescent="0.25">
      <c r="H12" s="71"/>
      <c r="W12" s="132">
        <v>42782</v>
      </c>
      <c r="X12" s="10">
        <v>80.25</v>
      </c>
      <c r="Y12" s="10">
        <v>80.48</v>
      </c>
      <c r="Z12" s="10">
        <v>79.23</v>
      </c>
      <c r="AA12" s="10">
        <v>80.239999999999995</v>
      </c>
      <c r="AB12" s="94">
        <v>1802000</v>
      </c>
      <c r="AC12" s="10">
        <v>80.239999999999995</v>
      </c>
      <c r="AD12" s="2">
        <f t="shared" si="0"/>
        <v>1.25</v>
      </c>
      <c r="AE12" s="137">
        <f t="shared" si="1"/>
        <v>-2.2382491917434244E-3</v>
      </c>
    </row>
    <row r="13" spans="1:31" x14ac:dyDescent="0.25">
      <c r="H13" s="71"/>
      <c r="W13" s="132">
        <v>42781</v>
      </c>
      <c r="X13" s="10">
        <v>78.97</v>
      </c>
      <c r="Y13" s="10">
        <v>80.489999999999995</v>
      </c>
      <c r="Z13" s="10">
        <v>78.010000000000005</v>
      </c>
      <c r="AA13" s="10">
        <v>80.42</v>
      </c>
      <c r="AB13" s="94">
        <v>2594900</v>
      </c>
      <c r="AC13" s="10">
        <v>80.42</v>
      </c>
      <c r="AD13" s="2">
        <f t="shared" si="0"/>
        <v>2.4799999999999898</v>
      </c>
      <c r="AE13" s="137">
        <f t="shared" si="1"/>
        <v>1.9523326572008282E-2</v>
      </c>
    </row>
    <row r="14" spans="1:31" x14ac:dyDescent="0.25">
      <c r="H14" s="71"/>
      <c r="W14" s="132">
        <v>42780</v>
      </c>
      <c r="X14" s="10">
        <v>77.59</v>
      </c>
      <c r="Y14" s="10">
        <v>79.05</v>
      </c>
      <c r="Z14" s="10">
        <v>77.38</v>
      </c>
      <c r="AA14" s="10">
        <v>78.88</v>
      </c>
      <c r="AB14" s="94">
        <v>1705200</v>
      </c>
      <c r="AC14" s="10">
        <v>78.88</v>
      </c>
      <c r="AD14" s="2">
        <f t="shared" si="0"/>
        <v>1.6700000000000017</v>
      </c>
      <c r="AE14" s="137">
        <f t="shared" si="1"/>
        <v>1.037530421416677E-2</v>
      </c>
    </row>
    <row r="15" spans="1:31" x14ac:dyDescent="0.25">
      <c r="H15" s="71"/>
      <c r="W15" s="132">
        <v>42779</v>
      </c>
      <c r="X15" s="10">
        <v>77.81</v>
      </c>
      <c r="Y15" s="10">
        <v>78.400000000000006</v>
      </c>
      <c r="Z15" s="10">
        <v>77.25</v>
      </c>
      <c r="AA15" s="10">
        <v>78.069999999999993</v>
      </c>
      <c r="AB15" s="94">
        <v>1522800</v>
      </c>
      <c r="AC15" s="10">
        <v>78.069999999999993</v>
      </c>
      <c r="AD15" s="2">
        <f t="shared" si="0"/>
        <v>1.1500000000000057</v>
      </c>
      <c r="AE15" s="137">
        <f t="shared" si="1"/>
        <v>8.6563307493539021E-3</v>
      </c>
    </row>
    <row r="16" spans="1:31" x14ac:dyDescent="0.25">
      <c r="H16" s="71"/>
      <c r="W16" s="132">
        <v>42776</v>
      </c>
      <c r="X16" s="10">
        <v>77.5</v>
      </c>
      <c r="Y16" s="10">
        <v>77.73</v>
      </c>
      <c r="Z16" s="10">
        <v>76.78</v>
      </c>
      <c r="AA16" s="10">
        <v>77.400000000000006</v>
      </c>
      <c r="AB16" s="94">
        <v>1688200</v>
      </c>
      <c r="AC16" s="10">
        <v>77.400000000000006</v>
      </c>
      <c r="AD16" s="2">
        <f t="shared" si="0"/>
        <v>0.95000000000000284</v>
      </c>
      <c r="AE16" s="137">
        <f t="shared" si="1"/>
        <v>-6.4557779212393029E-4</v>
      </c>
    </row>
    <row r="17" spans="1:31" x14ac:dyDescent="0.25">
      <c r="H17" s="71"/>
      <c r="W17" s="132">
        <v>42775</v>
      </c>
      <c r="X17" s="10">
        <v>77.81</v>
      </c>
      <c r="Y17" s="10">
        <v>77.900000000000006</v>
      </c>
      <c r="Z17" s="10">
        <v>77.040000000000006</v>
      </c>
      <c r="AA17" s="10">
        <v>77.45</v>
      </c>
      <c r="AB17" s="94">
        <v>2053600</v>
      </c>
      <c r="AC17" s="10">
        <v>77.45</v>
      </c>
      <c r="AD17" s="2">
        <f t="shared" si="0"/>
        <v>0.85999999999999943</v>
      </c>
      <c r="AE17" s="137">
        <f t="shared" si="1"/>
        <v>-4.6266546716360324E-3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42774</v>
      </c>
      <c r="X18" s="10">
        <v>77.400000000000006</v>
      </c>
      <c r="Y18" s="10">
        <v>77.849999999999994</v>
      </c>
      <c r="Z18" s="10">
        <v>76.67</v>
      </c>
      <c r="AA18" s="10">
        <v>77.81</v>
      </c>
      <c r="AB18" s="94">
        <v>2465000</v>
      </c>
      <c r="AC18" s="10">
        <v>77.81</v>
      </c>
      <c r="AD18" s="2">
        <f t="shared" si="0"/>
        <v>1.1799999999999926</v>
      </c>
      <c r="AE18" s="137">
        <f t="shared" si="1"/>
        <v>6.4300411522633105E-4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75.5</v>
      </c>
      <c r="Y19" s="10">
        <v>79.69</v>
      </c>
      <c r="Z19" s="10">
        <v>75</v>
      </c>
      <c r="AA19" s="10">
        <v>77.760000000000005</v>
      </c>
      <c r="AB19" s="94">
        <v>6390700</v>
      </c>
      <c r="AC19" s="10">
        <v>77.760000000000005</v>
      </c>
      <c r="AD19" s="2">
        <f t="shared" si="0"/>
        <v>4.6899999999999977</v>
      </c>
      <c r="AE19" s="137">
        <f t="shared" si="1"/>
        <v>2.3561932341713998E-2</v>
      </c>
    </row>
    <row r="20" spans="1:31" x14ac:dyDescent="0.25">
      <c r="W20" s="132">
        <v>42772</v>
      </c>
      <c r="X20" s="10">
        <v>74.849999999999994</v>
      </c>
      <c r="Y20" s="10">
        <v>76.06</v>
      </c>
      <c r="Z20" s="10">
        <v>74.849999999999994</v>
      </c>
      <c r="AA20" s="10">
        <v>75.97</v>
      </c>
      <c r="AB20" s="94">
        <v>2951800</v>
      </c>
      <c r="AC20" s="10">
        <v>75.97</v>
      </c>
      <c r="AD20" s="2">
        <f t="shared" si="0"/>
        <v>1.210000000000008</v>
      </c>
      <c r="AE20" s="137">
        <f t="shared" si="1"/>
        <v>1.4692133030586252E-2</v>
      </c>
    </row>
    <row r="21" spans="1:31" x14ac:dyDescent="0.25">
      <c r="W21" s="132">
        <v>42769</v>
      </c>
      <c r="X21" s="10">
        <v>74.69</v>
      </c>
      <c r="Y21" s="10">
        <v>75.09</v>
      </c>
      <c r="Z21" s="10">
        <v>74.41</v>
      </c>
      <c r="AA21" s="10">
        <v>74.87</v>
      </c>
      <c r="AB21" s="94">
        <v>1581000</v>
      </c>
      <c r="AC21" s="10">
        <v>74.87</v>
      </c>
      <c r="AD21" s="2">
        <f t="shared" si="0"/>
        <v>0.68000000000000682</v>
      </c>
      <c r="AE21" s="137">
        <f t="shared" si="1"/>
        <v>5.7764642665234511E-3</v>
      </c>
    </row>
    <row r="22" spans="1:31" x14ac:dyDescent="0.25">
      <c r="W22" s="132">
        <v>42768</v>
      </c>
      <c r="X22" s="10">
        <v>74.91</v>
      </c>
      <c r="Y22" s="10">
        <v>75.2</v>
      </c>
      <c r="Z22" s="10">
        <v>73.790000000000006</v>
      </c>
      <c r="AA22" s="10">
        <v>74.44</v>
      </c>
      <c r="AB22" s="94">
        <v>2428300</v>
      </c>
      <c r="AC22" s="10">
        <v>74.44</v>
      </c>
      <c r="AD22" s="2">
        <f t="shared" si="0"/>
        <v>1.4099999999999966</v>
      </c>
      <c r="AE22" s="137">
        <f t="shared" si="1"/>
        <v>-1.207697412076969E-2</v>
      </c>
    </row>
    <row r="23" spans="1:31" x14ac:dyDescent="0.25">
      <c r="W23" s="132">
        <v>42767</v>
      </c>
      <c r="X23" s="10">
        <v>74.430000000000007</v>
      </c>
      <c r="Y23" s="10">
        <v>75.39</v>
      </c>
      <c r="Z23" s="10">
        <v>74.16</v>
      </c>
      <c r="AA23" s="10">
        <v>75.349999999999994</v>
      </c>
      <c r="AB23" s="94">
        <v>2569300</v>
      </c>
      <c r="AC23" s="10">
        <v>75.349999999999994</v>
      </c>
      <c r="AD23" s="2">
        <f t="shared" si="0"/>
        <v>1.230000000000004</v>
      </c>
      <c r="AE23" s="137">
        <f t="shared" si="1"/>
        <v>5.2027748132337237E-3</v>
      </c>
    </row>
    <row r="24" spans="1:31" x14ac:dyDescent="0.25">
      <c r="B24" s="377" t="s">
        <v>114</v>
      </c>
      <c r="C24" s="378" t="s">
        <v>147</v>
      </c>
      <c r="D24" s="379" t="s">
        <v>146</v>
      </c>
      <c r="E24" s="379" t="s">
        <v>148</v>
      </c>
      <c r="F24" s="379" t="s">
        <v>65</v>
      </c>
      <c r="G24" s="379" t="s">
        <v>152</v>
      </c>
      <c r="H24" s="380" t="s">
        <v>88</v>
      </c>
      <c r="I24" s="379" t="s">
        <v>155</v>
      </c>
      <c r="W24" s="132">
        <v>42766</v>
      </c>
      <c r="X24" s="10">
        <v>73.89</v>
      </c>
      <c r="Y24" s="10">
        <v>75.05</v>
      </c>
      <c r="Z24" s="10">
        <v>72.88</v>
      </c>
      <c r="AA24" s="10">
        <v>74.959999999999994</v>
      </c>
      <c r="AB24" s="94">
        <v>3543400</v>
      </c>
      <c r="AC24" s="10">
        <v>74.959999999999994</v>
      </c>
      <c r="AD24" s="2">
        <f t="shared" si="0"/>
        <v>2.1700000000000017</v>
      </c>
      <c r="AE24" s="137">
        <f t="shared" si="1"/>
        <v>2.4183631643667214E-2</v>
      </c>
    </row>
    <row r="25" spans="1:31" x14ac:dyDescent="0.25">
      <c r="A25" s="4"/>
      <c r="B25" s="192"/>
      <c r="C25" s="10"/>
      <c r="D25" s="40"/>
      <c r="E25" s="40"/>
      <c r="F25" s="40"/>
      <c r="G25" s="40"/>
      <c r="H25" s="230"/>
      <c r="I25" s="40"/>
      <c r="W25" s="132">
        <v>42765</v>
      </c>
      <c r="X25" s="10">
        <v>72.53</v>
      </c>
      <c r="Y25" s="10">
        <v>73.31</v>
      </c>
      <c r="Z25" s="10">
        <v>72.11</v>
      </c>
      <c r="AA25" s="10">
        <v>73.19</v>
      </c>
      <c r="AB25" s="94">
        <v>1645500</v>
      </c>
      <c r="AC25" s="10">
        <v>73.19</v>
      </c>
      <c r="AD25" s="2">
        <f t="shared" si="0"/>
        <v>1.2000000000000028</v>
      </c>
      <c r="AE25" s="137">
        <f t="shared" si="1"/>
        <v>9.9351455774803199E-3</v>
      </c>
    </row>
    <row r="26" spans="1:31" x14ac:dyDescent="0.25">
      <c r="A26" s="4"/>
      <c r="B26" s="192"/>
      <c r="C26" s="10"/>
      <c r="D26" s="40"/>
      <c r="E26" s="40"/>
      <c r="F26" s="40"/>
      <c r="G26" s="40"/>
      <c r="H26" s="230"/>
      <c r="I26" s="40"/>
      <c r="W26" s="132">
        <v>42762</v>
      </c>
      <c r="X26" s="10">
        <v>73.58</v>
      </c>
      <c r="Y26" s="10">
        <v>73.58</v>
      </c>
      <c r="Z26" s="10">
        <v>71.989999999999995</v>
      </c>
      <c r="AA26" s="10">
        <v>72.47</v>
      </c>
      <c r="AB26" s="94">
        <v>3023700</v>
      </c>
      <c r="AC26" s="10">
        <v>72.47</v>
      </c>
      <c r="AD26" s="2">
        <f t="shared" si="0"/>
        <v>1.5900000000000034</v>
      </c>
      <c r="AE26" s="137">
        <f t="shared" si="1"/>
        <v>-8.4826925708031409E-3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42761</v>
      </c>
      <c r="X27" s="10">
        <v>73.34</v>
      </c>
      <c r="Y27" s="10">
        <v>74.14</v>
      </c>
      <c r="Z27" s="10">
        <v>72.430000000000007</v>
      </c>
      <c r="AA27" s="10">
        <v>73.09</v>
      </c>
      <c r="AB27" s="94">
        <v>3866300</v>
      </c>
      <c r="AC27" s="10">
        <v>73.09</v>
      </c>
      <c r="AD27" s="2">
        <f t="shared" si="0"/>
        <v>1.7099999999999937</v>
      </c>
      <c r="AE27" s="137">
        <f t="shared" si="1"/>
        <v>-3.6641623830235948E-2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42760</v>
      </c>
      <c r="X28" s="10">
        <v>75.010000000000005</v>
      </c>
      <c r="Y28" s="10">
        <v>75.959999999999994</v>
      </c>
      <c r="Z28" s="10">
        <v>74.67</v>
      </c>
      <c r="AA28" s="10">
        <v>75.87</v>
      </c>
      <c r="AB28" s="94">
        <v>1556700</v>
      </c>
      <c r="AC28" s="10">
        <v>75.87</v>
      </c>
      <c r="AD28" s="2">
        <f t="shared" si="0"/>
        <v>1.289999999999992</v>
      </c>
      <c r="AE28" s="137">
        <f t="shared" si="1"/>
        <v>1.6342933690555839E-2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42759</v>
      </c>
      <c r="X29" s="10">
        <v>74.77</v>
      </c>
      <c r="Y29" s="10">
        <v>74.849999999999994</v>
      </c>
      <c r="Z29" s="10">
        <v>74.3</v>
      </c>
      <c r="AA29" s="10">
        <v>74.650000000000006</v>
      </c>
      <c r="AB29" s="94">
        <v>1060600</v>
      </c>
      <c r="AC29" s="10">
        <v>74.650000000000006</v>
      </c>
      <c r="AD29" s="2">
        <f t="shared" si="0"/>
        <v>0.54999999999999716</v>
      </c>
      <c r="AE29" s="137">
        <f t="shared" si="1"/>
        <v>-9.3683083511764131E-4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42758</v>
      </c>
      <c r="X30" s="10">
        <v>74.900000000000006</v>
      </c>
      <c r="Y30" s="10">
        <v>75.12</v>
      </c>
      <c r="Z30" s="10">
        <v>74.27</v>
      </c>
      <c r="AA30" s="10">
        <v>74.72</v>
      </c>
      <c r="AB30" s="94">
        <v>2180900</v>
      </c>
      <c r="AC30" s="10">
        <v>74.72</v>
      </c>
      <c r="AD30" s="2">
        <f t="shared" si="0"/>
        <v>0.85000000000000853</v>
      </c>
      <c r="AE30" s="137">
        <f t="shared" si="1"/>
        <v>-4.1316806610689483E-3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42755</v>
      </c>
      <c r="X31" s="10">
        <v>75.55</v>
      </c>
      <c r="Y31" s="10">
        <v>75.78</v>
      </c>
      <c r="Z31" s="10">
        <v>74.930000000000007</v>
      </c>
      <c r="AA31" s="10">
        <v>75.03</v>
      </c>
      <c r="AB31" s="94">
        <v>2389700</v>
      </c>
      <c r="AC31" s="10">
        <v>75.03</v>
      </c>
      <c r="AD31" s="2">
        <f t="shared" si="0"/>
        <v>0.84999999999999432</v>
      </c>
      <c r="AE31" s="137">
        <f t="shared" si="1"/>
        <v>-6.8828590337524087E-3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42754</v>
      </c>
      <c r="X32" s="10">
        <v>75.599999999999994</v>
      </c>
      <c r="Y32" s="10">
        <v>75.760000000000005</v>
      </c>
      <c r="Z32" s="10">
        <v>75.25</v>
      </c>
      <c r="AA32" s="10">
        <v>75.55</v>
      </c>
      <c r="AB32" s="94">
        <v>2240100</v>
      </c>
      <c r="AC32" s="10">
        <v>75.55</v>
      </c>
      <c r="AD32" s="2">
        <f t="shared" si="0"/>
        <v>0.51000000000000512</v>
      </c>
      <c r="AE32" s="137">
        <f t="shared" si="1"/>
        <v>-3.2981530343008103E-3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42753</v>
      </c>
      <c r="X33" s="10">
        <v>75.650000000000006</v>
      </c>
      <c r="Y33" s="10">
        <v>75.849999999999994</v>
      </c>
      <c r="Z33" s="10">
        <v>75.03</v>
      </c>
      <c r="AA33" s="10">
        <v>75.8</v>
      </c>
      <c r="AB33" s="94">
        <v>1768600</v>
      </c>
      <c r="AC33" s="10">
        <v>75.8</v>
      </c>
      <c r="AD33" s="2">
        <f t="shared" si="0"/>
        <v>0.81999999999999318</v>
      </c>
      <c r="AE33" s="137">
        <f t="shared" si="1"/>
        <v>8.2468741686616553E-3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42752</v>
      </c>
      <c r="X34" s="10">
        <v>74.61</v>
      </c>
      <c r="Y34" s="10">
        <v>75.86</v>
      </c>
      <c r="Z34" s="10">
        <v>74.37</v>
      </c>
      <c r="AA34" s="10">
        <v>75.180000000000007</v>
      </c>
      <c r="AB34" s="94">
        <v>1523700</v>
      </c>
      <c r="AC34" s="10">
        <v>75.180000000000007</v>
      </c>
      <c r="AD34" s="2">
        <f t="shared" si="0"/>
        <v>1.4899999999999949</v>
      </c>
      <c r="AE34" s="137">
        <f t="shared" si="1"/>
        <v>2.4000000000001798E-3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42748</v>
      </c>
      <c r="X35" s="10">
        <v>74.48</v>
      </c>
      <c r="Y35" s="10">
        <v>75.14</v>
      </c>
      <c r="Z35" s="10">
        <v>74.260000000000005</v>
      </c>
      <c r="AA35" s="10">
        <v>75</v>
      </c>
      <c r="AB35" s="94">
        <v>1443700</v>
      </c>
      <c r="AC35" s="10">
        <v>75</v>
      </c>
      <c r="AD35" s="2">
        <f t="shared" si="0"/>
        <v>0.87999999999999545</v>
      </c>
      <c r="AE35" s="137">
        <f t="shared" si="1"/>
        <v>1.0917913465426698E-2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42747</v>
      </c>
      <c r="X36" s="10">
        <v>73.400000000000006</v>
      </c>
      <c r="Y36" s="10">
        <v>74.27</v>
      </c>
      <c r="Z36" s="10">
        <v>73.290000000000006</v>
      </c>
      <c r="AA36" s="10">
        <v>74.19</v>
      </c>
      <c r="AB36" s="94">
        <v>1998600</v>
      </c>
      <c r="AC36" s="10">
        <v>74.19</v>
      </c>
      <c r="AD36" s="2">
        <f t="shared" si="0"/>
        <v>0.97999999999998977</v>
      </c>
      <c r="AE36" s="137">
        <f t="shared" si="1"/>
        <v>6.3754747693978153E-3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42746</v>
      </c>
      <c r="X37" s="10">
        <v>75.150000000000006</v>
      </c>
      <c r="Y37" s="10">
        <v>75.63</v>
      </c>
      <c r="Z37" s="10">
        <v>72.849999999999994</v>
      </c>
      <c r="AA37" s="10">
        <v>73.72</v>
      </c>
      <c r="AB37" s="94">
        <v>3049400</v>
      </c>
      <c r="AC37" s="10">
        <v>73.72</v>
      </c>
      <c r="AD37" s="2">
        <f t="shared" si="0"/>
        <v>2.7800000000000011</v>
      </c>
      <c r="AE37" s="137">
        <f t="shared" si="1"/>
        <v>-1.9941504918904562E-2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42745</v>
      </c>
      <c r="X38" s="10">
        <v>74.58</v>
      </c>
      <c r="Y38" s="10">
        <v>75.97</v>
      </c>
      <c r="Z38" s="10">
        <v>74.52</v>
      </c>
      <c r="AA38" s="10">
        <v>75.22</v>
      </c>
      <c r="AB38" s="94">
        <v>2420400</v>
      </c>
      <c r="AC38" s="10">
        <v>75.22</v>
      </c>
      <c r="AD38" s="2">
        <f t="shared" si="0"/>
        <v>1.4500000000000028</v>
      </c>
      <c r="AE38" s="137">
        <f t="shared" si="1"/>
        <v>6.153023006955527E-3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75.03</v>
      </c>
      <c r="Y39" s="10">
        <v>75.599999999999994</v>
      </c>
      <c r="Z39" s="10">
        <v>74.75</v>
      </c>
      <c r="AA39" s="10">
        <v>74.760000000000005</v>
      </c>
      <c r="AB39" s="94">
        <v>1985600</v>
      </c>
      <c r="AC39" s="10">
        <v>74.760000000000005</v>
      </c>
      <c r="AD39" s="2">
        <f t="shared" si="0"/>
        <v>0.84999999999999432</v>
      </c>
      <c r="AE39" s="137">
        <f t="shared" si="1"/>
        <v>-7.5667064914375359E-3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42741</v>
      </c>
      <c r="X40" s="10">
        <v>74.62</v>
      </c>
      <c r="Y40" s="10">
        <v>75.41</v>
      </c>
      <c r="Z40" s="10">
        <v>74.17</v>
      </c>
      <c r="AA40" s="10">
        <v>75.33</v>
      </c>
      <c r="AB40" s="94">
        <v>2306900</v>
      </c>
      <c r="AC40" s="10">
        <v>75.33</v>
      </c>
      <c r="AD40" s="2">
        <f t="shared" si="0"/>
        <v>1.2399999999999949</v>
      </c>
      <c r="AE40" s="137">
        <f t="shared" si="1"/>
        <v>1.1140939597315436E-2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90.244000000000014</v>
      </c>
      <c r="Q41" s="2"/>
      <c r="W41" s="132">
        <v>42740</v>
      </c>
      <c r="X41" s="10">
        <v>75.33</v>
      </c>
      <c r="Y41" s="10">
        <v>75.59</v>
      </c>
      <c r="Z41" s="10">
        <v>74.31</v>
      </c>
      <c r="AA41" s="10">
        <v>74.5</v>
      </c>
      <c r="AB41" s="94">
        <v>1921000</v>
      </c>
      <c r="AC41" s="10">
        <v>74.5</v>
      </c>
      <c r="AD41" s="2">
        <f t="shared" si="0"/>
        <v>1.2800000000000011</v>
      </c>
      <c r="AE41" s="137">
        <f t="shared" si="1"/>
        <v>-1.4941160914980767E-2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89.423600000000008</v>
      </c>
      <c r="Q42" s="2"/>
      <c r="T42" s="90" t="s">
        <v>113</v>
      </c>
      <c r="W42" s="132">
        <v>42739</v>
      </c>
      <c r="X42" s="10">
        <v>74.5</v>
      </c>
      <c r="Y42" s="10">
        <v>75.69</v>
      </c>
      <c r="Z42" s="10">
        <v>74.5</v>
      </c>
      <c r="AA42" s="10">
        <v>75.63</v>
      </c>
      <c r="AB42" s="94">
        <v>2461500</v>
      </c>
      <c r="AC42" s="10">
        <v>75.63</v>
      </c>
      <c r="AD42" s="2">
        <f t="shared" si="0"/>
        <v>1.1899999999999977</v>
      </c>
      <c r="AE42" s="137">
        <f t="shared" si="1"/>
        <v>1.5440386680988016E-2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88.603200000000015</v>
      </c>
      <c r="Q43" s="2"/>
      <c r="T43" s="127" t="s">
        <v>98</v>
      </c>
      <c r="U43" s="97">
        <v>81.790000000000006</v>
      </c>
      <c r="W43" s="132">
        <v>42738</v>
      </c>
      <c r="X43" s="10">
        <v>71.989999999999995</v>
      </c>
      <c r="Y43" s="10">
        <v>74.75</v>
      </c>
      <c r="Z43" s="10">
        <v>71.900000000000006</v>
      </c>
      <c r="AA43" s="10">
        <v>74.48</v>
      </c>
      <c r="AB43" s="94">
        <v>4459400</v>
      </c>
      <c r="AC43" s="10">
        <v>74.48</v>
      </c>
      <c r="AD43" s="2">
        <f t="shared" si="0"/>
        <v>2.8499999999999943</v>
      </c>
      <c r="AE43" s="137">
        <f t="shared" si="1"/>
        <v>3.4875642628873216E-2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87.782800000000009</v>
      </c>
      <c r="Q44" s="2"/>
      <c r="T44" s="92" t="s">
        <v>99</v>
      </c>
      <c r="U44" s="87">
        <v>82.24</v>
      </c>
      <c r="W44" s="132">
        <v>42734</v>
      </c>
      <c r="X44" s="10">
        <v>72.33</v>
      </c>
      <c r="Y44" s="10">
        <v>72.61</v>
      </c>
      <c r="Z44" s="10">
        <v>71.72</v>
      </c>
      <c r="AA44" s="10">
        <v>71.97</v>
      </c>
      <c r="AB44" s="94">
        <v>1613100</v>
      </c>
      <c r="AC44" s="10">
        <v>71.97</v>
      </c>
      <c r="AD44" s="2">
        <f t="shared" si="0"/>
        <v>0.89000000000000057</v>
      </c>
      <c r="AE44" s="137">
        <f t="shared" si="1"/>
        <v>-5.2522460262611759E-3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86.962400000000017</v>
      </c>
      <c r="Q45" s="2"/>
      <c r="T45" s="92" t="s">
        <v>100</v>
      </c>
      <c r="U45" s="87" t="s">
        <v>129</v>
      </c>
      <c r="W45" s="132">
        <v>42733</v>
      </c>
      <c r="X45" s="10">
        <v>72.31</v>
      </c>
      <c r="Y45" s="10">
        <v>73.150000000000006</v>
      </c>
      <c r="Z45" s="10">
        <v>72.23</v>
      </c>
      <c r="AA45" s="10">
        <v>72.349999999999994</v>
      </c>
      <c r="AB45" s="94">
        <v>1728400</v>
      </c>
      <c r="AC45" s="10">
        <v>72.349999999999994</v>
      </c>
      <c r="AD45" s="2">
        <f t="shared" si="0"/>
        <v>0.92000000000000171</v>
      </c>
      <c r="AE45" s="137" t="e">
        <f t="shared" si="1"/>
        <v>#DIV/0!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86.14200000000001</v>
      </c>
      <c r="Q46" s="2"/>
      <c r="T46" s="92" t="s">
        <v>101</v>
      </c>
      <c r="U46" s="87" t="s">
        <v>129</v>
      </c>
      <c r="W46" s="132">
        <v>42733</v>
      </c>
      <c r="X46" s="10" t="s">
        <v>233</v>
      </c>
      <c r="Y46" s="10"/>
      <c r="Z46" s="10"/>
      <c r="AA46" s="10"/>
      <c r="AB46" s="94"/>
      <c r="AC46" s="10"/>
      <c r="AD46" s="2">
        <f t="shared" si="0"/>
        <v>0</v>
      </c>
      <c r="AE46" s="137">
        <f t="shared" si="1"/>
        <v>-1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85.321600000000004</v>
      </c>
      <c r="Q47" s="2"/>
      <c r="T47" s="92" t="s">
        <v>102</v>
      </c>
      <c r="U47" s="87">
        <v>82.27</v>
      </c>
      <c r="W47" s="132">
        <v>42732</v>
      </c>
      <c r="X47" s="10">
        <v>73.13</v>
      </c>
      <c r="Y47" s="10">
        <v>73.69</v>
      </c>
      <c r="Z47" s="10">
        <v>72.52</v>
      </c>
      <c r="AA47" s="10">
        <v>72.55</v>
      </c>
      <c r="AB47" s="94">
        <v>1514800</v>
      </c>
      <c r="AC47" s="10">
        <v>72.099999999999994</v>
      </c>
      <c r="AD47" s="2">
        <f t="shared" si="0"/>
        <v>1.1700000000000017</v>
      </c>
      <c r="AE47" s="137">
        <f t="shared" si="1"/>
        <v>-7.1605618286975092E-3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84.501200000000011</v>
      </c>
      <c r="Q48" s="2"/>
      <c r="T48" s="92" t="s">
        <v>103</v>
      </c>
      <c r="U48" s="87">
        <v>0.88265499999999997</v>
      </c>
      <c r="W48" s="132">
        <v>42731</v>
      </c>
      <c r="X48" s="10">
        <v>72.92</v>
      </c>
      <c r="Y48" s="10">
        <v>73.650000000000006</v>
      </c>
      <c r="Z48" s="10">
        <v>72.89</v>
      </c>
      <c r="AA48" s="10">
        <v>73.069999999999993</v>
      </c>
      <c r="AB48" s="94">
        <v>1500900</v>
      </c>
      <c r="AC48" s="10">
        <v>72.62</v>
      </c>
      <c r="AD48" s="2">
        <f t="shared" si="0"/>
        <v>0.76000000000000512</v>
      </c>
      <c r="AE48" s="137">
        <f t="shared" si="1"/>
        <v>2.6232224216484745E-3</v>
      </c>
    </row>
    <row r="49" spans="2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83.680800000000005</v>
      </c>
      <c r="Q49" s="2"/>
      <c r="T49" s="92" t="s">
        <v>122</v>
      </c>
      <c r="U49" s="87" t="s">
        <v>417</v>
      </c>
      <c r="W49" s="132">
        <v>42727</v>
      </c>
      <c r="X49" s="10">
        <v>72.36</v>
      </c>
      <c r="Y49" s="10">
        <v>73.400000000000006</v>
      </c>
      <c r="Z49" s="10">
        <v>72.099999999999994</v>
      </c>
      <c r="AA49" s="10">
        <v>72.88</v>
      </c>
      <c r="AB49" s="94">
        <v>995700</v>
      </c>
      <c r="AC49" s="10">
        <v>72.430000000000007</v>
      </c>
      <c r="AD49" s="2">
        <f t="shared" si="0"/>
        <v>1.3000000000000114</v>
      </c>
      <c r="AE49" s="137">
        <f t="shared" si="1"/>
        <v>1.0745185598660445E-2</v>
      </c>
    </row>
    <row r="50" spans="2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82.860400000000013</v>
      </c>
      <c r="Q50" s="2"/>
      <c r="T50" s="92"/>
      <c r="U50" s="87"/>
      <c r="W50" s="132">
        <v>42726</v>
      </c>
      <c r="X50" s="10">
        <v>72.66</v>
      </c>
      <c r="Y50" s="10">
        <v>72.989999999999995</v>
      </c>
      <c r="Z50" s="10">
        <v>71.87</v>
      </c>
      <c r="AA50" s="10">
        <v>72.11</v>
      </c>
      <c r="AB50" s="94">
        <v>1612600</v>
      </c>
      <c r="AC50" s="10">
        <v>71.66</v>
      </c>
      <c r="AD50" s="2">
        <f t="shared" si="0"/>
        <v>1.1199999999999903</v>
      </c>
      <c r="AE50" s="137">
        <f t="shared" si="1"/>
        <v>-7.0666481917694979E-3</v>
      </c>
    </row>
    <row r="51" spans="2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82.04</v>
      </c>
      <c r="Q51" s="2"/>
      <c r="T51" s="92" t="s">
        <v>105</v>
      </c>
      <c r="U51" s="87" t="s">
        <v>703</v>
      </c>
      <c r="W51" s="132">
        <v>42725</v>
      </c>
      <c r="X51" s="10">
        <v>72.489999999999995</v>
      </c>
      <c r="Y51" s="10">
        <v>72.98</v>
      </c>
      <c r="Z51" s="10">
        <v>71.819999999999993</v>
      </c>
      <c r="AA51" s="10">
        <v>72.62</v>
      </c>
      <c r="AB51" s="94">
        <v>3206800</v>
      </c>
      <c r="AC51" s="10">
        <v>72.17</v>
      </c>
      <c r="AD51" s="2">
        <f t="shared" si="0"/>
        <v>1.1600000000000108</v>
      </c>
      <c r="AE51" s="137">
        <f t="shared" si="1"/>
        <v>-1.001371742112489E-2</v>
      </c>
    </row>
    <row r="52" spans="2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81.2196</v>
      </c>
      <c r="Q52" s="2"/>
      <c r="T52" s="92" t="s">
        <v>106</v>
      </c>
      <c r="U52" s="87" t="s">
        <v>360</v>
      </c>
      <c r="W52" s="132">
        <v>42724</v>
      </c>
      <c r="X52" s="10">
        <v>73.87</v>
      </c>
      <c r="Y52" s="10">
        <v>74.28</v>
      </c>
      <c r="Z52" s="10">
        <v>72.97</v>
      </c>
      <c r="AA52" s="10">
        <v>73.349999999999994</v>
      </c>
      <c r="AB52" s="94">
        <v>2397300</v>
      </c>
      <c r="AC52" s="10">
        <v>72.900000000000006</v>
      </c>
      <c r="AD52" s="2">
        <f t="shared" si="0"/>
        <v>1.3100000000000023</v>
      </c>
      <c r="AE52" s="137">
        <f t="shared" si="1"/>
        <v>-4.642271982523094E-3</v>
      </c>
    </row>
    <row r="53" spans="2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80.399200000000008</v>
      </c>
      <c r="Q53" s="2"/>
      <c r="T53" s="92" t="s">
        <v>107</v>
      </c>
      <c r="U53" s="89">
        <v>1888965</v>
      </c>
      <c r="W53" s="132">
        <v>42723</v>
      </c>
      <c r="X53" s="10">
        <v>73.77</v>
      </c>
      <c r="Y53" s="10">
        <v>74.319999999999993</v>
      </c>
      <c r="Z53" s="10">
        <v>73.11</v>
      </c>
      <c r="AA53" s="10">
        <v>73.7</v>
      </c>
      <c r="AB53" s="94">
        <v>2936500</v>
      </c>
      <c r="AC53" s="10">
        <v>73.239999999999995</v>
      </c>
      <c r="AD53" s="2">
        <f t="shared" si="0"/>
        <v>1.2099999999999937</v>
      </c>
      <c r="AE53" s="137">
        <f t="shared" si="1"/>
        <v>-8.1855388813101282E-4</v>
      </c>
    </row>
    <row r="54" spans="2:31" x14ac:dyDescent="0.25">
      <c r="B54" s="192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79.578800000000001</v>
      </c>
      <c r="T54" s="92" t="s">
        <v>110</v>
      </c>
      <c r="U54" s="89">
        <v>2365540</v>
      </c>
      <c r="W54" s="132">
        <v>42720</v>
      </c>
      <c r="X54" s="10">
        <v>73.290000000000006</v>
      </c>
      <c r="Y54" s="10">
        <v>73.87</v>
      </c>
      <c r="Z54" s="10">
        <v>72.95</v>
      </c>
      <c r="AA54" s="10">
        <v>73.760000000000005</v>
      </c>
      <c r="AB54" s="94">
        <v>3726900</v>
      </c>
      <c r="AC54" s="10">
        <v>73.3</v>
      </c>
      <c r="AD54" s="2">
        <f t="shared" si="0"/>
        <v>0.92000000000000171</v>
      </c>
      <c r="AE54" s="137">
        <f t="shared" si="1"/>
        <v>1.0337698139214258E-2</v>
      </c>
    </row>
    <row r="55" spans="2:31" x14ac:dyDescent="0.25">
      <c r="B55" s="192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78.758400000000009</v>
      </c>
      <c r="T55" s="92" t="s">
        <v>108</v>
      </c>
      <c r="U55" s="87" t="s">
        <v>704</v>
      </c>
      <c r="W55" s="132">
        <v>42719</v>
      </c>
      <c r="X55" s="10">
        <v>72.5</v>
      </c>
      <c r="Y55" s="10">
        <v>73.209999999999994</v>
      </c>
      <c r="Z55" s="10">
        <v>71.97</v>
      </c>
      <c r="AA55" s="10">
        <v>73</v>
      </c>
      <c r="AB55" s="94">
        <v>3210000</v>
      </c>
      <c r="AC55" s="10">
        <v>72.55</v>
      </c>
      <c r="AD55" s="2">
        <f t="shared" si="0"/>
        <v>1.2399999999999949</v>
      </c>
      <c r="AE55" s="137">
        <f t="shared" si="1"/>
        <v>7.3590669258538632E-3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77.938000000000002</v>
      </c>
      <c r="T56" s="92" t="s">
        <v>111</v>
      </c>
      <c r="U56" s="87">
        <v>19.95</v>
      </c>
      <c r="W56" s="132">
        <v>42718</v>
      </c>
      <c r="X56" s="10">
        <v>73.739999999999995</v>
      </c>
      <c r="Y56" s="10">
        <v>73.930000000000007</v>
      </c>
      <c r="Z56" s="10">
        <v>72.13</v>
      </c>
      <c r="AA56" s="10">
        <v>72.47</v>
      </c>
      <c r="AB56" s="94">
        <v>2523700</v>
      </c>
      <c r="AC56" s="10">
        <v>72.02</v>
      </c>
      <c r="AD56" s="2">
        <f t="shared" si="0"/>
        <v>1.8000000000000114</v>
      </c>
      <c r="AE56" s="137">
        <f t="shared" si="1"/>
        <v>-1.7328421339882771E-2</v>
      </c>
    </row>
    <row r="57" spans="2:31" x14ac:dyDescent="0.25">
      <c r="B57" s="192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77.117599999999996</v>
      </c>
      <c r="T57" s="92" t="s">
        <v>112</v>
      </c>
      <c r="U57" s="87">
        <v>4.1500000000000004</v>
      </c>
      <c r="W57" s="132">
        <v>42717</v>
      </c>
      <c r="X57" s="10">
        <v>73.61</v>
      </c>
      <c r="Y57" s="10">
        <v>74.09</v>
      </c>
      <c r="Z57" s="10">
        <v>73.25</v>
      </c>
      <c r="AA57" s="10">
        <v>73.75</v>
      </c>
      <c r="AB57" s="94">
        <v>2548900</v>
      </c>
      <c r="AC57" s="10">
        <v>73.290000000000006</v>
      </c>
      <c r="AD57" s="2">
        <f t="shared" si="0"/>
        <v>0.84000000000000341</v>
      </c>
      <c r="AE57" s="137">
        <f t="shared" si="1"/>
        <v>3.5601807476379754E-3</v>
      </c>
    </row>
    <row r="58" spans="2:31" x14ac:dyDescent="0.25">
      <c r="B58" s="192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76.297200000000004</v>
      </c>
      <c r="T58" s="92" t="s">
        <v>109</v>
      </c>
      <c r="U58" s="87" t="s">
        <v>705</v>
      </c>
      <c r="W58" s="132">
        <v>42716</v>
      </c>
      <c r="X58" s="10">
        <v>72.900000000000006</v>
      </c>
      <c r="Y58" s="10">
        <v>73.7</v>
      </c>
      <c r="Z58" s="10">
        <v>72.62</v>
      </c>
      <c r="AA58" s="10">
        <v>73.48</v>
      </c>
      <c r="AB58" s="94">
        <v>2447600</v>
      </c>
      <c r="AC58" s="10">
        <v>73.03</v>
      </c>
      <c r="AD58" s="2">
        <f t="shared" si="0"/>
        <v>1.0799999999999983</v>
      </c>
      <c r="AE58" s="137">
        <f t="shared" si="1"/>
        <v>6.0614409698305227E-3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75.476800000000011</v>
      </c>
      <c r="W59" s="132">
        <v>42713</v>
      </c>
      <c r="X59" s="10">
        <v>71.13</v>
      </c>
      <c r="Y59" s="10">
        <v>73.290000000000006</v>
      </c>
      <c r="Z59" s="10">
        <v>71.099999999999994</v>
      </c>
      <c r="AA59" s="10">
        <v>73.040000000000006</v>
      </c>
      <c r="AB59" s="94">
        <v>3048200</v>
      </c>
      <c r="AC59" s="10">
        <v>72.59</v>
      </c>
      <c r="AD59" s="2">
        <f t="shared" si="0"/>
        <v>2.1900000000000119</v>
      </c>
      <c r="AE59" s="137">
        <f t="shared" si="1"/>
        <v>2.7168529786330886E-2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74.656400000000005</v>
      </c>
      <c r="W60" s="132">
        <v>42712</v>
      </c>
      <c r="X60" s="10">
        <v>70.569999999999993</v>
      </c>
      <c r="Y60" s="10">
        <v>71.37</v>
      </c>
      <c r="Z60" s="10">
        <v>70.06</v>
      </c>
      <c r="AA60" s="10">
        <v>71.11</v>
      </c>
      <c r="AB60" s="94">
        <v>2362300</v>
      </c>
      <c r="AC60" s="10">
        <v>70.67</v>
      </c>
      <c r="AD60" s="2">
        <f t="shared" si="0"/>
        <v>1.3100000000000023</v>
      </c>
      <c r="AE60" s="137">
        <f t="shared" si="1"/>
        <v>8.70682272337997E-3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73.836000000000013</v>
      </c>
      <c r="W61" s="132">
        <v>42711</v>
      </c>
      <c r="X61" s="10">
        <v>70.2</v>
      </c>
      <c r="Y61" s="10">
        <v>70.63</v>
      </c>
      <c r="Z61" s="10">
        <v>68.599999999999994</v>
      </c>
      <c r="AA61" s="10">
        <v>70.5</v>
      </c>
      <c r="AB61" s="94">
        <v>5534500</v>
      </c>
      <c r="AC61" s="10">
        <v>70.06</v>
      </c>
      <c r="AD61" s="2">
        <f t="shared" si="0"/>
        <v>2.0300000000000011</v>
      </c>
      <c r="AE61" s="137">
        <f t="shared" si="1"/>
        <v>-1.2961397576782163E-2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42710</v>
      </c>
      <c r="X62" s="10">
        <v>72.010000000000005</v>
      </c>
      <c r="Y62" s="10">
        <v>72.16</v>
      </c>
      <c r="Z62" s="10">
        <v>70.72</v>
      </c>
      <c r="AA62" s="10">
        <v>71.42</v>
      </c>
      <c r="AB62" s="94">
        <v>2726200</v>
      </c>
      <c r="AC62" s="10">
        <v>70.98</v>
      </c>
      <c r="AD62" s="2">
        <f t="shared" si="0"/>
        <v>1.4399999999999977</v>
      </c>
      <c r="AE62" s="137">
        <f t="shared" si="1"/>
        <v>-9.351011863224068E-3</v>
      </c>
    </row>
    <row r="63" spans="2:31" x14ac:dyDescent="0.25">
      <c r="B63" s="192"/>
      <c r="C63" s="10"/>
      <c r="D63" s="40"/>
      <c r="E63" s="40"/>
      <c r="F63" s="40"/>
      <c r="G63" s="40"/>
      <c r="H63" s="230"/>
      <c r="I63" s="40"/>
      <c r="W63" s="132">
        <v>42709</v>
      </c>
      <c r="X63" s="10">
        <v>70.959999999999994</v>
      </c>
      <c r="Y63" s="10">
        <v>72.150000000000006</v>
      </c>
      <c r="Z63" s="10">
        <v>70.739999999999995</v>
      </c>
      <c r="AA63" s="10">
        <v>72.099999999999994</v>
      </c>
      <c r="AB63" s="94">
        <v>3302600</v>
      </c>
      <c r="AC63" s="10">
        <v>71.650000000000006</v>
      </c>
      <c r="AD63" s="2">
        <f t="shared" si="0"/>
        <v>1.4100000000000108</v>
      </c>
      <c r="AE63" s="137">
        <f t="shared" si="1"/>
        <v>1.7900269924705281E-2</v>
      </c>
    </row>
    <row r="64" spans="2:31" x14ac:dyDescent="0.25">
      <c r="B64" s="192"/>
      <c r="C64" s="10"/>
      <c r="D64" s="40"/>
      <c r="E64" s="40"/>
      <c r="F64" s="40"/>
      <c r="G64" s="40"/>
      <c r="H64" s="230"/>
      <c r="I64" s="40"/>
      <c r="W64" s="132">
        <v>42706</v>
      </c>
      <c r="X64" s="10">
        <v>71.19</v>
      </c>
      <c r="Y64" s="10">
        <v>71.680000000000007</v>
      </c>
      <c r="Z64" s="10">
        <v>70.739999999999995</v>
      </c>
      <c r="AA64" s="10">
        <v>70.83</v>
      </c>
      <c r="AB64" s="94">
        <v>2362700</v>
      </c>
      <c r="AC64" s="10">
        <v>70.39</v>
      </c>
      <c r="AD64" s="2">
        <f t="shared" si="0"/>
        <v>0.94000000000001194</v>
      </c>
      <c r="AE64" s="137">
        <f t="shared" si="1"/>
        <v>-1.4186409419775226E-3</v>
      </c>
    </row>
    <row r="65" spans="1:31" x14ac:dyDescent="0.25">
      <c r="B65" s="192"/>
      <c r="C65" s="10"/>
      <c r="D65" s="40"/>
      <c r="E65" s="40"/>
      <c r="F65" s="40"/>
      <c r="G65" s="40"/>
      <c r="H65" s="230"/>
      <c r="I65" s="40"/>
      <c r="W65" s="132">
        <v>42705</v>
      </c>
      <c r="X65" s="10">
        <v>70.94</v>
      </c>
      <c r="Y65" s="10">
        <v>71.89</v>
      </c>
      <c r="Z65" s="10">
        <v>70.66</v>
      </c>
      <c r="AA65" s="10">
        <v>70.930000000000007</v>
      </c>
      <c r="AB65" s="94">
        <v>3332200</v>
      </c>
      <c r="AC65" s="10">
        <v>70.489999999999995</v>
      </c>
      <c r="AD65" s="2">
        <f t="shared" si="0"/>
        <v>1.230000000000004</v>
      </c>
      <c r="AE65" s="137">
        <f t="shared" si="1"/>
        <v>-1.1336261867649355E-3</v>
      </c>
    </row>
    <row r="66" spans="1:31" x14ac:dyDescent="0.25">
      <c r="B66" s="192"/>
      <c r="C66" s="10"/>
      <c r="D66" s="40"/>
      <c r="E66" s="40"/>
      <c r="F66" s="40"/>
      <c r="G66" s="40"/>
      <c r="H66" s="230"/>
      <c r="I66" s="40"/>
      <c r="W66" s="132">
        <v>42704</v>
      </c>
      <c r="X66" s="10">
        <v>71.02</v>
      </c>
      <c r="Y66" s="10">
        <v>71.569999999999993</v>
      </c>
      <c r="Z66" s="10">
        <v>70.77</v>
      </c>
      <c r="AA66" s="10">
        <v>71.010000000000005</v>
      </c>
      <c r="AB66" s="94">
        <v>4885600</v>
      </c>
      <c r="AC66" s="10">
        <v>70.569999999999993</v>
      </c>
      <c r="AD66" s="2">
        <f t="shared" si="0"/>
        <v>0.79999999999999716</v>
      </c>
      <c r="AE66" s="137">
        <f t="shared" si="1"/>
        <v>2.8348688873136574E-4</v>
      </c>
    </row>
    <row r="67" spans="1:31" x14ac:dyDescent="0.25">
      <c r="L67" t="s">
        <v>65</v>
      </c>
      <c r="M67" s="2">
        <f>M85+K85-F85</f>
        <v>1056.739999999998</v>
      </c>
      <c r="W67" s="132">
        <v>42703</v>
      </c>
      <c r="X67" s="10">
        <v>71.510000000000005</v>
      </c>
      <c r="Y67" s="10">
        <v>71.78</v>
      </c>
      <c r="Z67" s="10">
        <v>70.44</v>
      </c>
      <c r="AA67" s="10">
        <v>70.989999999999995</v>
      </c>
      <c r="AB67" s="94">
        <v>4099200</v>
      </c>
      <c r="AC67" s="10">
        <v>70.55</v>
      </c>
      <c r="AD67" s="2">
        <f>Y67-Z67</f>
        <v>1.3400000000000034</v>
      </c>
      <c r="AE67" s="137" t="e">
        <f>AC67/#REF!-1</f>
        <v>#REF!</v>
      </c>
    </row>
    <row r="68" spans="1:31" x14ac:dyDescent="0.25">
      <c r="A68" s="384" t="s">
        <v>1</v>
      </c>
      <c r="B68" s="384" t="s">
        <v>2</v>
      </c>
      <c r="C68" s="384" t="s">
        <v>4</v>
      </c>
      <c r="D68" s="386" t="s">
        <v>5</v>
      </c>
      <c r="E68" s="386" t="s">
        <v>94</v>
      </c>
      <c r="F68" s="386" t="s">
        <v>60</v>
      </c>
      <c r="G68" s="384" t="s">
        <v>3</v>
      </c>
      <c r="H68" s="384" t="s">
        <v>6</v>
      </c>
      <c r="I68" s="386" t="s">
        <v>7</v>
      </c>
      <c r="J68" s="386" t="s">
        <v>95</v>
      </c>
      <c r="K68" s="386" t="s">
        <v>61</v>
      </c>
      <c r="L68" s="384" t="s">
        <v>37</v>
      </c>
      <c r="M68" s="384" t="s">
        <v>38</v>
      </c>
      <c r="W68" s="132">
        <v>42702</v>
      </c>
      <c r="X68" s="10">
        <v>71.33</v>
      </c>
      <c r="Y68" s="10">
        <v>71.95</v>
      </c>
      <c r="Z68" s="10">
        <v>70.900000000000006</v>
      </c>
      <c r="AA68" s="10">
        <v>71.569999999999993</v>
      </c>
      <c r="AB68" s="94">
        <v>3038700</v>
      </c>
      <c r="AC68" s="10">
        <v>71.13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387" t="s">
        <v>52</v>
      </c>
      <c r="B69" s="377">
        <v>42488</v>
      </c>
      <c r="C69" s="378">
        <v>30</v>
      </c>
      <c r="D69" s="379">
        <v>79.349999999999994</v>
      </c>
      <c r="E69" s="379">
        <v>0</v>
      </c>
      <c r="F69" s="379">
        <f>D69*C69+E69</f>
        <v>2380.5</v>
      </c>
      <c r="G69" s="377">
        <v>42521</v>
      </c>
      <c r="H69" s="382">
        <v>25</v>
      </c>
      <c r="I69" s="379">
        <v>79.05</v>
      </c>
      <c r="J69" s="379">
        <v>0.04</v>
      </c>
      <c r="K69" s="379">
        <f>I69*H69-J69</f>
        <v>1976.21</v>
      </c>
      <c r="L69" s="377">
        <v>42566</v>
      </c>
      <c r="M69" s="379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388" t="s">
        <v>71</v>
      </c>
      <c r="B70" s="377">
        <v>42495</v>
      </c>
      <c r="C70" s="378">
        <v>20</v>
      </c>
      <c r="D70" s="379">
        <v>76.25</v>
      </c>
      <c r="E70" s="379">
        <v>0</v>
      </c>
      <c r="F70" s="379">
        <f>D70*C70+E70</f>
        <v>1525</v>
      </c>
      <c r="G70" s="377">
        <v>42552</v>
      </c>
      <c r="H70" s="382">
        <v>25</v>
      </c>
      <c r="I70" s="379">
        <v>78.28</v>
      </c>
      <c r="J70" s="379">
        <v>0.04</v>
      </c>
      <c r="K70" s="379">
        <f>I70*H70-J70</f>
        <v>1956.96</v>
      </c>
      <c r="L70" s="378"/>
      <c r="M70" s="378"/>
    </row>
    <row r="71" spans="1:31" x14ac:dyDescent="0.25">
      <c r="A71" s="378"/>
      <c r="B71" s="377">
        <v>42537</v>
      </c>
      <c r="C71" s="378">
        <v>25</v>
      </c>
      <c r="D71" s="379">
        <v>75.88</v>
      </c>
      <c r="E71" s="379">
        <v>0</v>
      </c>
      <c r="F71" s="379">
        <f>D71*C71+E71</f>
        <v>1897</v>
      </c>
      <c r="G71" s="377">
        <v>42577</v>
      </c>
      <c r="H71" s="382">
        <v>10</v>
      </c>
      <c r="I71" s="379">
        <v>83.3</v>
      </c>
      <c r="J71" s="379">
        <v>0.02</v>
      </c>
      <c r="K71" s="379">
        <f>I71*H71-J71</f>
        <v>832.98</v>
      </c>
      <c r="L71" s="378"/>
      <c r="M71" s="378"/>
    </row>
    <row r="72" spans="1:31" x14ac:dyDescent="0.25">
      <c r="A72" s="378"/>
      <c r="B72" s="377">
        <v>42548</v>
      </c>
      <c r="C72" s="378">
        <v>25</v>
      </c>
      <c r="D72" s="379">
        <v>73.58</v>
      </c>
      <c r="E72" s="379">
        <v>0</v>
      </c>
      <c r="F72" s="379">
        <f>D72*C72+E72</f>
        <v>1839.5</v>
      </c>
      <c r="G72" s="377">
        <v>42580</v>
      </c>
      <c r="H72" s="382">
        <v>40</v>
      </c>
      <c r="I72" s="379">
        <v>83.33</v>
      </c>
      <c r="J72" s="379">
        <v>7.0000000000000007E-2</v>
      </c>
      <c r="K72" s="379">
        <f>I72*H72-J72</f>
        <v>3333.1299999999997</v>
      </c>
      <c r="L72" s="378"/>
      <c r="M72" s="378"/>
    </row>
    <row r="73" spans="1:31" x14ac:dyDescent="0.25">
      <c r="A73" s="378"/>
      <c r="B73" s="377">
        <v>42608</v>
      </c>
      <c r="C73" s="378">
        <v>25</v>
      </c>
      <c r="D73" s="379">
        <v>79.02</v>
      </c>
      <c r="E73" s="379">
        <v>0</v>
      </c>
      <c r="F73" s="379">
        <f t="shared" ref="F73:F79" si="3">C73*D73+E73</f>
        <v>1975.5</v>
      </c>
      <c r="G73" s="377">
        <v>42674</v>
      </c>
      <c r="H73" s="382">
        <v>25</v>
      </c>
      <c r="I73" s="379">
        <v>70.900000000000006</v>
      </c>
      <c r="J73" s="379">
        <v>0.04</v>
      </c>
      <c r="K73" s="379">
        <f>H73*I73-J73</f>
        <v>1772.4600000000003</v>
      </c>
      <c r="L73" s="377">
        <v>42660</v>
      </c>
      <c r="M73" s="379">
        <v>22.45</v>
      </c>
    </row>
    <row r="74" spans="1:31" x14ac:dyDescent="0.25">
      <c r="A74" s="378"/>
      <c r="B74" s="377">
        <v>42627</v>
      </c>
      <c r="C74" s="378">
        <v>25</v>
      </c>
      <c r="D74" s="379">
        <v>76.3</v>
      </c>
      <c r="E74" s="379">
        <v>0</v>
      </c>
      <c r="F74" s="379">
        <f t="shared" si="3"/>
        <v>1907.5</v>
      </c>
      <c r="G74" s="377">
        <v>42711</v>
      </c>
      <c r="H74" s="382">
        <v>25</v>
      </c>
      <c r="I74" s="379">
        <v>69.680000000000007</v>
      </c>
      <c r="J74" s="379">
        <v>0.04</v>
      </c>
      <c r="K74" s="379">
        <f>H74*I74-J74</f>
        <v>1741.9600000000003</v>
      </c>
      <c r="L74" s="377">
        <v>42753</v>
      </c>
      <c r="M74" s="379">
        <v>22.45</v>
      </c>
    </row>
    <row r="75" spans="1:31" x14ac:dyDescent="0.25">
      <c r="A75" s="378"/>
      <c r="B75" s="377">
        <v>42668</v>
      </c>
      <c r="C75" s="378">
        <v>25</v>
      </c>
      <c r="D75" s="379">
        <v>74.38</v>
      </c>
      <c r="E75" s="379">
        <v>0</v>
      </c>
      <c r="F75" s="379">
        <f t="shared" si="3"/>
        <v>1859.5</v>
      </c>
      <c r="G75" s="377">
        <v>42713</v>
      </c>
      <c r="H75" s="382">
        <v>50</v>
      </c>
      <c r="I75" s="379">
        <v>72.58</v>
      </c>
      <c r="J75" s="379">
        <v>0.08</v>
      </c>
      <c r="K75" s="379">
        <f>H75*I75-J75</f>
        <v>3628.92</v>
      </c>
      <c r="L75" s="378"/>
      <c r="M75" s="378"/>
    </row>
    <row r="76" spans="1:31" x14ac:dyDescent="0.25">
      <c r="A76" s="378"/>
      <c r="B76" s="377">
        <v>42671</v>
      </c>
      <c r="C76" s="378">
        <v>25</v>
      </c>
      <c r="D76" s="379">
        <v>64.7</v>
      </c>
      <c r="E76" s="379">
        <v>0</v>
      </c>
      <c r="F76" s="379">
        <f t="shared" si="3"/>
        <v>1617.5</v>
      </c>
      <c r="G76" s="377">
        <v>42713</v>
      </c>
      <c r="H76" s="382">
        <v>25</v>
      </c>
      <c r="I76" s="379">
        <v>73.25</v>
      </c>
      <c r="J76" s="379">
        <v>0.04</v>
      </c>
      <c r="K76" s="379">
        <f>H76*I76-J76</f>
        <v>1831.21</v>
      </c>
      <c r="L76" s="378"/>
      <c r="M76" s="378"/>
    </row>
    <row r="77" spans="1:31" x14ac:dyDescent="0.25">
      <c r="A77" s="378"/>
      <c r="B77" s="377">
        <v>42674</v>
      </c>
      <c r="C77" s="378">
        <v>25</v>
      </c>
      <c r="D77" s="379">
        <v>69.680000000000007</v>
      </c>
      <c r="E77" s="379">
        <v>0</v>
      </c>
      <c r="F77" s="379">
        <f t="shared" si="3"/>
        <v>1742.0000000000002</v>
      </c>
      <c r="G77" s="377">
        <v>42752</v>
      </c>
      <c r="H77" s="382">
        <v>50</v>
      </c>
      <c r="I77" s="379">
        <v>75.69</v>
      </c>
      <c r="J77" s="379">
        <v>0.33</v>
      </c>
      <c r="K77" s="379">
        <f>H77*I77-J77</f>
        <v>3784.17</v>
      </c>
      <c r="L77" s="378"/>
      <c r="M77" s="378"/>
    </row>
    <row r="78" spans="1:31" x14ac:dyDescent="0.25">
      <c r="A78" s="378"/>
      <c r="B78" s="377">
        <v>42711</v>
      </c>
      <c r="C78" s="378">
        <v>25</v>
      </c>
      <c r="D78" s="379">
        <v>68.8</v>
      </c>
      <c r="E78" s="379">
        <v>0</v>
      </c>
      <c r="F78" s="379">
        <f t="shared" si="3"/>
        <v>1720</v>
      </c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7">
        <v>42718</v>
      </c>
      <c r="C79" s="378">
        <v>25</v>
      </c>
      <c r="D79" s="379">
        <v>72.48</v>
      </c>
      <c r="E79" s="379">
        <v>0</v>
      </c>
      <c r="F79" s="379">
        <f t="shared" si="3"/>
        <v>1812</v>
      </c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454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4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8"/>
      <c r="M80" s="378"/>
    </row>
    <row r="81" spans="1:13" x14ac:dyDescent="0.25">
      <c r="A81" s="378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82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82"/>
      <c r="I84" s="379"/>
      <c r="J84" s="379"/>
      <c r="K84" s="379"/>
      <c r="L84" s="378"/>
      <c r="M84" s="378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7" t="s">
        <v>197</v>
      </c>
      <c r="B86" s="468"/>
      <c r="C86" s="469">
        <f>SumByColor($A$19,C69:C84)</f>
        <v>25</v>
      </c>
      <c r="D86" s="469"/>
      <c r="E86" s="469"/>
      <c r="F86" s="470">
        <f>SumByColor($A$19,F69:F84)</f>
        <v>1793</v>
      </c>
      <c r="G86" s="469"/>
      <c r="H86" s="469">
        <f>SumByColor($A$19,H69:H84)</f>
        <v>25</v>
      </c>
      <c r="I86" s="469"/>
      <c r="J86" s="469"/>
      <c r="K86" s="470">
        <f>SumByColor($A$19,K69:K84)</f>
        <v>1944</v>
      </c>
      <c r="L86" s="469"/>
      <c r="M86" s="470">
        <f>SumByColor($A$19,M69:M84)</f>
        <v>0</v>
      </c>
    </row>
    <row r="92" spans="1:13" x14ac:dyDescent="0.25">
      <c r="B92" s="377" t="s">
        <v>114</v>
      </c>
      <c r="C92" s="378" t="s">
        <v>147</v>
      </c>
      <c r="D92" s="379" t="s">
        <v>146</v>
      </c>
      <c r="E92" s="379" t="s">
        <v>148</v>
      </c>
      <c r="F92" s="379" t="s">
        <v>65</v>
      </c>
      <c r="G92" s="379" t="s">
        <v>152</v>
      </c>
      <c r="H92" s="380" t="s">
        <v>88</v>
      </c>
      <c r="I92" s="379" t="s">
        <v>155</v>
      </c>
    </row>
    <row r="93" spans="1:13" x14ac:dyDescent="0.25">
      <c r="A93" s="524" t="s">
        <v>373</v>
      </c>
      <c r="B93" s="523">
        <v>42754</v>
      </c>
      <c r="C93" s="524">
        <v>25</v>
      </c>
      <c r="D93" s="525">
        <v>71.73</v>
      </c>
      <c r="E93" s="526">
        <v>75.55</v>
      </c>
      <c r="F93" s="526">
        <f>C93*(E93-D93)</f>
        <v>95.499999999999829</v>
      </c>
      <c r="G93" s="526">
        <f>D93*C93</f>
        <v>1793.25</v>
      </c>
      <c r="H93" s="570">
        <f>(E93-D93)/D93</f>
        <v>5.3255262791021787E-2</v>
      </c>
      <c r="I93" s="526">
        <v>70</v>
      </c>
    </row>
    <row r="94" spans="1:13" x14ac:dyDescent="0.25">
      <c r="A94" s="524" t="s">
        <v>408</v>
      </c>
      <c r="B94" s="523">
        <v>42761</v>
      </c>
      <c r="C94" s="524">
        <v>50</v>
      </c>
      <c r="D94" s="525">
        <v>72.155000000000001</v>
      </c>
      <c r="E94" s="526">
        <v>73.09</v>
      </c>
      <c r="F94" s="526">
        <f>C94*(E94-D94)</f>
        <v>46.750000000000114</v>
      </c>
      <c r="G94" s="526">
        <f>D94*C94</f>
        <v>3607.75</v>
      </c>
      <c r="H94" s="570">
        <f>(E94-D94)/D94</f>
        <v>1.2958214953918679E-2</v>
      </c>
      <c r="I94" s="526">
        <v>71</v>
      </c>
    </row>
    <row r="95" spans="1:13" x14ac:dyDescent="0.25">
      <c r="A95" s="524" t="s">
        <v>449</v>
      </c>
      <c r="B95" s="523">
        <v>42771</v>
      </c>
      <c r="C95" s="524">
        <v>50</v>
      </c>
      <c r="D95" s="525">
        <v>72.155000000000001</v>
      </c>
      <c r="E95" s="526">
        <v>74.87</v>
      </c>
      <c r="F95" s="526">
        <f>C95*(E95-D95)</f>
        <v>135.75000000000017</v>
      </c>
      <c r="G95" s="526">
        <f>D95*C95</f>
        <v>3607.75</v>
      </c>
      <c r="H95" s="570">
        <f>(E95-D95)/D95</f>
        <v>3.7627330053357402E-2</v>
      </c>
      <c r="I95" s="526"/>
    </row>
    <row r="96" spans="1:13" x14ac:dyDescent="0.25">
      <c r="A96" s="524" t="s">
        <v>454</v>
      </c>
      <c r="B96" s="523">
        <v>42773</v>
      </c>
      <c r="C96" s="524">
        <v>25</v>
      </c>
      <c r="D96" s="525">
        <v>66.531599999999997</v>
      </c>
      <c r="E96" s="526">
        <v>75.87</v>
      </c>
      <c r="F96" s="526">
        <f>C96*(E96-D96)</f>
        <v>233.46000000000018</v>
      </c>
      <c r="G96" s="526">
        <f>D96*C96</f>
        <v>1663.29</v>
      </c>
      <c r="H96" s="570">
        <f>(E96-D96)/D96</f>
        <v>0.14036037010984265</v>
      </c>
      <c r="I96" s="526"/>
    </row>
    <row r="97" spans="1:9" x14ac:dyDescent="0.25">
      <c r="A97" s="685"/>
      <c r="B97" s="686"/>
      <c r="C97" s="685"/>
      <c r="D97" s="687"/>
      <c r="E97" s="687"/>
      <c r="F97" s="687"/>
      <c r="G97" s="687"/>
      <c r="H97" s="688"/>
      <c r="I97" s="687"/>
    </row>
    <row r="98" spans="1:9" x14ac:dyDescent="0.25">
      <c r="A98" s="685" t="s">
        <v>501</v>
      </c>
      <c r="B98" s="686">
        <v>42787</v>
      </c>
      <c r="C98" s="685">
        <v>25</v>
      </c>
      <c r="D98" s="687">
        <v>72.58</v>
      </c>
      <c r="E98" s="687">
        <v>81.34</v>
      </c>
      <c r="F98" s="687">
        <f>C98*(E98-D98)</f>
        <v>219.00000000000011</v>
      </c>
      <c r="G98" s="687">
        <f>D98*C98</f>
        <v>1814.5</v>
      </c>
      <c r="H98" s="688">
        <f>(E98-D98)/D98</f>
        <v>0.12069440617249938</v>
      </c>
      <c r="I98" s="687"/>
    </row>
    <row r="99" spans="1:9" x14ac:dyDescent="0.25">
      <c r="A99" s="685"/>
      <c r="B99" s="686">
        <v>42796</v>
      </c>
      <c r="C99" s="685">
        <v>0</v>
      </c>
      <c r="D99" s="687"/>
      <c r="E99" s="687"/>
      <c r="F99" s="687">
        <v>244.96</v>
      </c>
      <c r="G99" s="687"/>
      <c r="H99" s="688"/>
      <c r="I99" s="687"/>
    </row>
    <row r="100" spans="1:9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9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1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1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1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1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1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1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1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1:9" x14ac:dyDescent="0.25">
      <c r="B110" s="192"/>
      <c r="C110" s="10"/>
      <c r="D110" s="40"/>
      <c r="E110" s="40"/>
      <c r="F110" s="40"/>
      <c r="G110" s="40"/>
      <c r="H110" s="230"/>
      <c r="I110" s="40"/>
    </row>
    <row r="111" spans="1:9" x14ac:dyDescent="0.25">
      <c r="B111" s="192"/>
      <c r="C111" s="10"/>
      <c r="D111" s="40"/>
      <c r="E111" s="40"/>
      <c r="F111" s="40"/>
      <c r="G111" s="40"/>
      <c r="H111" s="230"/>
      <c r="I111" s="40"/>
    </row>
    <row r="112" spans="1:9" x14ac:dyDescent="0.25">
      <c r="B112" s="192"/>
      <c r="C112" s="10"/>
      <c r="D112" s="40"/>
      <c r="E112" s="40"/>
      <c r="F112" s="40"/>
      <c r="G112" s="40"/>
      <c r="H112" s="230"/>
      <c r="I112" s="40"/>
    </row>
    <row r="113" spans="2:9" x14ac:dyDescent="0.25">
      <c r="B113" s="192"/>
      <c r="C113" s="10"/>
      <c r="D113" s="40"/>
      <c r="E113" s="40"/>
      <c r="F113" s="40"/>
      <c r="G113" s="40"/>
      <c r="H113" s="230"/>
      <c r="I113" s="40"/>
    </row>
    <row r="114" spans="2:9" x14ac:dyDescent="0.25">
      <c r="B114" s="192"/>
      <c r="C114" s="10"/>
      <c r="D114" s="40"/>
      <c r="E114" s="40"/>
      <c r="F114" s="40"/>
      <c r="G114" s="40"/>
      <c r="H114" s="230"/>
      <c r="I114" s="40"/>
    </row>
    <row r="115" spans="2:9" x14ac:dyDescent="0.25">
      <c r="B115" s="192"/>
      <c r="C115" s="10"/>
      <c r="D115" s="40"/>
      <c r="E115" s="40"/>
      <c r="F115" s="40"/>
      <c r="G115" s="40"/>
      <c r="H115" s="230"/>
      <c r="I115" s="40"/>
    </row>
    <row r="116" spans="2:9" x14ac:dyDescent="0.25">
      <c r="B116" s="192"/>
      <c r="C116" s="10"/>
      <c r="D116" s="40"/>
      <c r="E116" s="40"/>
      <c r="F116" s="40"/>
      <c r="G116" s="40"/>
      <c r="H116" s="230"/>
      <c r="I116" s="40"/>
    </row>
    <row r="117" spans="2:9" x14ac:dyDescent="0.25">
      <c r="B117" s="192"/>
      <c r="C117" s="10"/>
      <c r="D117" s="40"/>
      <c r="E117" s="40"/>
      <c r="F117" s="40"/>
      <c r="G117" s="40"/>
      <c r="H117" s="230"/>
      <c r="I117" s="40"/>
    </row>
    <row r="118" spans="2:9" x14ac:dyDescent="0.25">
      <c r="B118" s="192"/>
      <c r="C118" s="10"/>
      <c r="D118" s="40"/>
      <c r="E118" s="40"/>
      <c r="F118" s="40"/>
      <c r="G118" s="40"/>
      <c r="H118" s="230"/>
      <c r="I118" s="40"/>
    </row>
    <row r="119" spans="2:9" x14ac:dyDescent="0.25">
      <c r="B119" s="192"/>
      <c r="C119" s="10"/>
      <c r="D119" s="40"/>
      <c r="E119" s="40"/>
      <c r="F119" s="40"/>
      <c r="G119" s="40"/>
      <c r="H119" s="230"/>
      <c r="I119" s="40"/>
    </row>
    <row r="120" spans="2:9" x14ac:dyDescent="0.25">
      <c r="B120" s="192"/>
      <c r="C120" s="10"/>
      <c r="D120" s="40"/>
      <c r="E120" s="40"/>
      <c r="F120" s="40"/>
      <c r="G120" s="40"/>
      <c r="H120" s="230"/>
      <c r="I120" s="40"/>
    </row>
    <row r="121" spans="2:9" x14ac:dyDescent="0.25">
      <c r="B121" s="192"/>
      <c r="C121" s="10"/>
      <c r="D121" s="40"/>
      <c r="E121" s="40"/>
      <c r="F121" s="40"/>
      <c r="G121" s="40"/>
      <c r="H121" s="230"/>
      <c r="I121" s="40"/>
    </row>
    <row r="122" spans="2:9" x14ac:dyDescent="0.25">
      <c r="B122" s="192"/>
      <c r="C122" s="10"/>
      <c r="D122" s="40"/>
      <c r="E122" s="40"/>
      <c r="F122" s="40"/>
      <c r="G122" s="40"/>
      <c r="H122" s="230"/>
      <c r="I122" s="40"/>
    </row>
    <row r="123" spans="2:9" x14ac:dyDescent="0.25">
      <c r="B123" s="192"/>
      <c r="C123" s="10"/>
      <c r="D123" s="40"/>
      <c r="E123" s="40"/>
      <c r="F123" s="40"/>
      <c r="G123" s="40"/>
      <c r="H123" s="230"/>
      <c r="I123" s="40"/>
    </row>
    <row r="124" spans="2:9" x14ac:dyDescent="0.25">
      <c r="B124" s="192"/>
      <c r="C124" s="10"/>
      <c r="D124" s="40"/>
      <c r="E124" s="40"/>
      <c r="F124" s="40"/>
      <c r="G124" s="40"/>
      <c r="H124" s="230"/>
      <c r="I124" s="40"/>
    </row>
    <row r="125" spans="2:9" x14ac:dyDescent="0.25">
      <c r="B125" s="192"/>
      <c r="C125" s="10"/>
      <c r="D125" s="40"/>
      <c r="E125" s="40"/>
      <c r="F125" s="40"/>
      <c r="G125" s="40"/>
      <c r="H125" s="230"/>
      <c r="I125" s="40"/>
    </row>
    <row r="126" spans="2:9" x14ac:dyDescent="0.25">
      <c r="B126" s="192"/>
      <c r="C126" s="10"/>
      <c r="D126" s="40"/>
      <c r="E126" s="40"/>
      <c r="F126" s="40"/>
      <c r="G126" s="40"/>
      <c r="H126" s="230"/>
      <c r="I126" s="40"/>
    </row>
    <row r="127" spans="2:9" x14ac:dyDescent="0.25">
      <c r="B127" s="192"/>
      <c r="C127" s="10"/>
      <c r="D127" s="40"/>
      <c r="E127" s="40"/>
      <c r="F127" s="40"/>
      <c r="G127" s="40"/>
      <c r="H127" s="230"/>
      <c r="I127" s="40"/>
    </row>
    <row r="128" spans="2:9" x14ac:dyDescent="0.25">
      <c r="B128" s="192"/>
      <c r="C128" s="10"/>
      <c r="D128" s="40"/>
      <c r="E128" s="40"/>
      <c r="F128" s="40"/>
      <c r="G128" s="40"/>
      <c r="H128" s="230"/>
      <c r="I128" s="40"/>
    </row>
    <row r="129" spans="2:9" x14ac:dyDescent="0.25">
      <c r="B129" s="192"/>
      <c r="C129" s="10"/>
      <c r="D129" s="40"/>
      <c r="E129" s="40"/>
      <c r="F129" s="40"/>
      <c r="G129" s="40"/>
      <c r="H129" s="230"/>
      <c r="I129" s="40"/>
    </row>
    <row r="130" spans="2:9" x14ac:dyDescent="0.25">
      <c r="B130" s="192"/>
      <c r="C130" s="10"/>
      <c r="D130" s="40"/>
      <c r="E130" s="40"/>
      <c r="F130" s="40"/>
      <c r="G130" s="40"/>
      <c r="H130" s="230"/>
      <c r="I130" s="40"/>
    </row>
    <row r="131" spans="2:9" x14ac:dyDescent="0.25">
      <c r="B131" s="192"/>
      <c r="C131" s="10"/>
      <c r="D131" s="40"/>
      <c r="E131" s="40"/>
      <c r="F131" s="40"/>
      <c r="G131" s="40"/>
      <c r="H131" s="230"/>
      <c r="I131" s="40"/>
    </row>
    <row r="132" spans="2:9" x14ac:dyDescent="0.25">
      <c r="B132" s="192"/>
      <c r="C132" s="10"/>
      <c r="D132" s="40"/>
      <c r="E132" s="40"/>
      <c r="F132" s="40"/>
      <c r="G132" s="40"/>
      <c r="H132" s="230"/>
      <c r="I132" s="40"/>
    </row>
    <row r="133" spans="2:9" x14ac:dyDescent="0.25">
      <c r="B133" s="192"/>
      <c r="C133" s="10"/>
      <c r="D133" s="40"/>
      <c r="E133" s="40"/>
      <c r="F133" s="40"/>
      <c r="G133" s="40"/>
      <c r="H133" s="230"/>
      <c r="I133" s="40"/>
    </row>
    <row r="134" spans="2:9" x14ac:dyDescent="0.25">
      <c r="B134" s="192"/>
      <c r="C134" s="10"/>
      <c r="D134" s="40"/>
      <c r="E134" s="40"/>
      <c r="F134" s="40"/>
      <c r="G134" s="40"/>
      <c r="H134" s="230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23" priority="73">
      <formula>F25&gt;0</formula>
    </cfRule>
    <cfRule type="expression" dxfId="222" priority="74">
      <formula>F25&lt;0</formula>
    </cfRule>
  </conditionalFormatting>
  <conditionalFormatting sqref="F57:F64 F66">
    <cfRule type="expression" dxfId="221" priority="69">
      <formula>F57&gt;0</formula>
    </cfRule>
    <cfRule type="expression" dxfId="220" priority="70">
      <formula>F57&lt;0</formula>
    </cfRule>
  </conditionalFormatting>
  <conditionalFormatting sqref="F57:F64 F66">
    <cfRule type="expression" dxfId="219" priority="71">
      <formula>F57&gt;0</formula>
    </cfRule>
    <cfRule type="expression" dxfId="218" priority="72">
      <formula>F57&lt;0</formula>
    </cfRule>
  </conditionalFormatting>
  <conditionalFormatting sqref="H57:H64 H66">
    <cfRule type="expression" dxfId="217" priority="67">
      <formula>H57&gt;0</formula>
    </cfRule>
    <cfRule type="expression" dxfId="216" priority="68">
      <formula>H57&lt;0</formula>
    </cfRule>
  </conditionalFormatting>
  <conditionalFormatting sqref="Q7">
    <cfRule type="expression" dxfId="215" priority="49">
      <formula>Q7&gt;0</formula>
    </cfRule>
    <cfRule type="expression" dxfId="214" priority="50">
      <formula>Q7&lt;0</formula>
    </cfRule>
  </conditionalFormatting>
  <conditionalFormatting sqref="Q8">
    <cfRule type="expression" dxfId="213" priority="47">
      <formula>Q8&gt;0</formula>
    </cfRule>
    <cfRule type="expression" dxfId="212" priority="48">
      <formula>Q8&lt;0</formula>
    </cfRule>
  </conditionalFormatting>
  <conditionalFormatting sqref="F24">
    <cfRule type="expression" dxfId="211" priority="33">
      <formula>F24&gt;0</formula>
    </cfRule>
    <cfRule type="expression" dxfId="210" priority="34">
      <formula>F24&lt;0</formula>
    </cfRule>
  </conditionalFormatting>
  <conditionalFormatting sqref="H24">
    <cfRule type="expression" dxfId="209" priority="31">
      <formula>H24&gt;0</formula>
    </cfRule>
    <cfRule type="expression" dxfId="208" priority="32">
      <formula>H24&lt;0</formula>
    </cfRule>
  </conditionalFormatting>
  <conditionalFormatting sqref="M67">
    <cfRule type="expression" dxfId="207" priority="29">
      <formula>M67&gt;0</formula>
    </cfRule>
    <cfRule type="expression" dxfId="206" priority="30">
      <formula>M67&lt;0</formula>
    </cfRule>
  </conditionalFormatting>
  <conditionalFormatting sqref="F65">
    <cfRule type="expression" dxfId="205" priority="25">
      <formula>F65&gt;0</formula>
    </cfRule>
    <cfRule type="expression" dxfId="204" priority="26">
      <formula>F65&lt;0</formula>
    </cfRule>
  </conditionalFormatting>
  <conditionalFormatting sqref="F65">
    <cfRule type="expression" dxfId="203" priority="27">
      <formula>F65&gt;0</formula>
    </cfRule>
    <cfRule type="expression" dxfId="202" priority="28">
      <formula>F65&lt;0</formula>
    </cfRule>
  </conditionalFormatting>
  <conditionalFormatting sqref="H65">
    <cfRule type="expression" dxfId="201" priority="23">
      <formula>H65&gt;0</formula>
    </cfRule>
    <cfRule type="expression" dxfId="200" priority="24">
      <formula>H65&lt;0</formula>
    </cfRule>
  </conditionalFormatting>
  <conditionalFormatting sqref="F93:F97 H93:H97 H99:H124 F99:F124">
    <cfRule type="expression" dxfId="199" priority="19">
      <formula>F93&gt;0</formula>
    </cfRule>
    <cfRule type="expression" dxfId="198" priority="20">
      <formula>F93&lt;0</formula>
    </cfRule>
  </conditionalFormatting>
  <conditionalFormatting sqref="F125:F132 F134">
    <cfRule type="expression" dxfId="197" priority="15">
      <formula>F125&gt;0</formula>
    </cfRule>
    <cfRule type="expression" dxfId="196" priority="16">
      <formula>F125&lt;0</formula>
    </cfRule>
  </conditionalFormatting>
  <conditionalFormatting sqref="F125:F132 F134">
    <cfRule type="expression" dxfId="195" priority="17">
      <formula>F125&gt;0</formula>
    </cfRule>
    <cfRule type="expression" dxfId="194" priority="18">
      <formula>F125&lt;0</formula>
    </cfRule>
  </conditionalFormatting>
  <conditionalFormatting sqref="H125:H132 H134">
    <cfRule type="expression" dxfId="193" priority="13">
      <formula>H125&gt;0</formula>
    </cfRule>
    <cfRule type="expression" dxfId="192" priority="14">
      <formula>H125&lt;0</formula>
    </cfRule>
  </conditionalFormatting>
  <conditionalFormatting sqref="F92">
    <cfRule type="expression" dxfId="191" priority="11">
      <formula>F92&gt;0</formula>
    </cfRule>
    <cfRule type="expression" dxfId="190" priority="12">
      <formula>F92&lt;0</formula>
    </cfRule>
  </conditionalFormatting>
  <conditionalFormatting sqref="H92">
    <cfRule type="expression" dxfId="189" priority="9">
      <formula>H92&gt;0</formula>
    </cfRule>
    <cfRule type="expression" dxfId="188" priority="10">
      <formula>H92&lt;0</formula>
    </cfRule>
  </conditionalFormatting>
  <conditionalFormatting sqref="F133">
    <cfRule type="expression" dxfId="187" priority="5">
      <formula>F133&gt;0</formula>
    </cfRule>
    <cfRule type="expression" dxfId="186" priority="6">
      <formula>F133&lt;0</formula>
    </cfRule>
  </conditionalFormatting>
  <conditionalFormatting sqref="F133">
    <cfRule type="expression" dxfId="185" priority="7">
      <formula>F133&gt;0</formula>
    </cfRule>
    <cfRule type="expression" dxfId="184" priority="8">
      <formula>F133&lt;0</formula>
    </cfRule>
  </conditionalFormatting>
  <conditionalFormatting sqref="H133">
    <cfRule type="expression" dxfId="183" priority="3">
      <formula>H133&gt;0</formula>
    </cfRule>
    <cfRule type="expression" dxfId="182" priority="4">
      <formula>H133&lt;0</formula>
    </cfRule>
  </conditionalFormatting>
  <conditionalFormatting sqref="F98 H98">
    <cfRule type="expression" dxfId="181" priority="1">
      <formula>F98&gt;0</formula>
    </cfRule>
    <cfRule type="expression" dxfId="18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42797</v>
      </c>
      <c r="X2" s="10">
        <v>50.01</v>
      </c>
      <c r="Y2" s="10">
        <v>50.64</v>
      </c>
      <c r="Z2" s="10">
        <v>49.72</v>
      </c>
      <c r="AA2" s="10">
        <v>50.13</v>
      </c>
      <c r="AB2" s="94">
        <v>11170800</v>
      </c>
      <c r="AC2" s="10">
        <v>50.13</v>
      </c>
      <c r="AD2" s="2">
        <f>Y2-Z2</f>
        <v>0.92000000000000171</v>
      </c>
      <c r="AE2" s="137">
        <f>AC2/AC3-1</f>
        <v>3.402722177742179E-3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(F29-K29-M29)/Q2)</f>
        <v>47.91</v>
      </c>
      <c r="T3" s="1">
        <v>42565</v>
      </c>
      <c r="U3" t="s">
        <v>240</v>
      </c>
      <c r="W3" s="132">
        <v>42796</v>
      </c>
      <c r="X3" s="10">
        <v>50</v>
      </c>
      <c r="Y3" s="10">
        <v>50.69</v>
      </c>
      <c r="Z3" s="10">
        <v>49.81</v>
      </c>
      <c r="AA3" s="10">
        <v>49.96</v>
      </c>
      <c r="AB3" s="94">
        <v>12527200</v>
      </c>
      <c r="AC3" s="10">
        <v>49.96</v>
      </c>
      <c r="AD3" s="2">
        <f t="shared" ref="AD3:AD66" si="0">Y3-Z3</f>
        <v>0.87999999999999545</v>
      </c>
      <c r="AE3" s="137">
        <f t="shared" ref="AE3:AE66" si="1">AC3/AC4-1</f>
        <v>-2.0968058005095047E-2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47.91</v>
      </c>
      <c r="R4" s="521">
        <v>1.4E-2</v>
      </c>
      <c r="T4" s="510">
        <v>42568</v>
      </c>
      <c r="U4" t="s">
        <v>251</v>
      </c>
      <c r="W4" s="132">
        <v>42795</v>
      </c>
      <c r="X4" s="10">
        <v>50.41</v>
      </c>
      <c r="Y4" s="10">
        <v>51.87</v>
      </c>
      <c r="Z4" s="10">
        <v>50.35</v>
      </c>
      <c r="AA4" s="10">
        <v>51.03</v>
      </c>
      <c r="AB4" s="94">
        <v>14144700</v>
      </c>
      <c r="AC4" s="10">
        <v>51.03</v>
      </c>
      <c r="AD4" s="2">
        <f t="shared" si="0"/>
        <v>1.519999999999996</v>
      </c>
      <c r="AE4" s="137">
        <f t="shared" si="1"/>
        <v>2.2030843180452564E-2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271</v>
      </c>
      <c r="W5" s="132">
        <v>42794</v>
      </c>
      <c r="X5" s="10">
        <v>50.5</v>
      </c>
      <c r="Y5" s="10">
        <v>50.6</v>
      </c>
      <c r="Z5" s="10">
        <v>49.86</v>
      </c>
      <c r="AA5" s="10">
        <v>49.93</v>
      </c>
      <c r="AB5" s="94">
        <v>6950200</v>
      </c>
      <c r="AC5" s="10">
        <v>49.93</v>
      </c>
      <c r="AD5" s="2">
        <f t="shared" si="0"/>
        <v>0.74000000000000199</v>
      </c>
      <c r="AE5" s="137">
        <f t="shared" si="1"/>
        <v>-1.01110229976209E-2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2">
        <v>42647</v>
      </c>
      <c r="U6" t="s">
        <v>275</v>
      </c>
      <c r="W6" s="132">
        <v>42793</v>
      </c>
      <c r="X6" s="10">
        <v>50.33</v>
      </c>
      <c r="Y6" s="10">
        <v>50.46</v>
      </c>
      <c r="Z6" s="10">
        <v>49.83</v>
      </c>
      <c r="AA6" s="10">
        <v>50.44</v>
      </c>
      <c r="AB6" s="94">
        <v>7574200</v>
      </c>
      <c r="AC6" s="10">
        <v>50.44</v>
      </c>
      <c r="AD6" s="2">
        <f t="shared" si="0"/>
        <v>0.63000000000000256</v>
      </c>
      <c r="AE6" s="137">
        <f t="shared" si="1"/>
        <v>-3.9635354736433648E-4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42790</v>
      </c>
      <c r="X7" s="10">
        <v>50.38</v>
      </c>
      <c r="Y7" s="10">
        <v>50.52</v>
      </c>
      <c r="Z7" s="10">
        <v>49.88</v>
      </c>
      <c r="AA7" s="10">
        <v>50.46</v>
      </c>
      <c r="AB7" s="94">
        <v>8154700</v>
      </c>
      <c r="AC7" s="10">
        <v>50.46</v>
      </c>
      <c r="AD7" s="2">
        <f t="shared" si="0"/>
        <v>0.64000000000000057</v>
      </c>
      <c r="AE7" s="137">
        <f t="shared" si="1"/>
        <v>-3.9619651347055918E-4</v>
      </c>
    </row>
    <row r="8" spans="1:31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7"/>
      <c r="W8" s="132">
        <v>42789</v>
      </c>
      <c r="X8" s="10">
        <v>51.12</v>
      </c>
      <c r="Y8" s="10">
        <v>51.49</v>
      </c>
      <c r="Z8" s="10">
        <v>50.19</v>
      </c>
      <c r="AA8" s="10">
        <v>50.48</v>
      </c>
      <c r="AB8" s="94">
        <v>6470900</v>
      </c>
      <c r="AC8" s="10">
        <v>50.48</v>
      </c>
      <c r="AD8" s="2">
        <f t="shared" si="0"/>
        <v>1.3000000000000043</v>
      </c>
      <c r="AE8" s="137">
        <f t="shared" si="1"/>
        <v>-8.8356567838210331E-3</v>
      </c>
    </row>
    <row r="9" spans="1:31" x14ac:dyDescent="0.25">
      <c r="B9" s="73"/>
      <c r="C9" s="4"/>
      <c r="D9" s="3"/>
      <c r="E9" s="3"/>
      <c r="F9" s="3"/>
      <c r="G9" s="276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51</v>
      </c>
      <c r="Y9" s="10">
        <v>51.14</v>
      </c>
      <c r="Z9" s="10">
        <v>50.48</v>
      </c>
      <c r="AA9" s="10">
        <v>50.93</v>
      </c>
      <c r="AB9" s="94">
        <v>4345100</v>
      </c>
      <c r="AC9" s="10">
        <v>50.93</v>
      </c>
      <c r="AD9" s="2">
        <f t="shared" si="0"/>
        <v>0.66000000000000369</v>
      </c>
      <c r="AE9" s="137" t="e">
        <f t="shared" si="1"/>
        <v>#DIV/0!</v>
      </c>
    </row>
    <row r="10" spans="1:31" x14ac:dyDescent="0.25">
      <c r="B10" s="73"/>
      <c r="C10" s="4"/>
      <c r="D10" s="3"/>
      <c r="E10" s="3"/>
      <c r="F10" s="3"/>
      <c r="G10" s="73"/>
      <c r="H10" s="390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42788</v>
      </c>
      <c r="X10" s="10" t="s">
        <v>515</v>
      </c>
      <c r="Y10" s="10"/>
      <c r="Z10" s="10"/>
      <c r="AA10" s="10"/>
      <c r="AB10" s="94"/>
      <c r="AC10" s="10"/>
      <c r="AD10" s="2">
        <f t="shared" si="0"/>
        <v>0</v>
      </c>
      <c r="AE10" s="137">
        <f t="shared" si="1"/>
        <v>-1</v>
      </c>
    </row>
    <row r="11" spans="1:31" x14ac:dyDescent="0.25">
      <c r="B11" s="73"/>
      <c r="C11" s="4"/>
      <c r="D11" s="3"/>
      <c r="E11" s="3"/>
      <c r="F11" s="3"/>
      <c r="G11" s="73"/>
      <c r="H11" s="184"/>
      <c r="I11" s="3"/>
      <c r="J11" s="3"/>
      <c r="K11" s="74"/>
      <c r="L11" s="4"/>
      <c r="M11" s="4"/>
      <c r="O11" s="11" t="s">
        <v>178</v>
      </c>
      <c r="P11" s="34"/>
      <c r="Q11" s="137">
        <f>VALUE(TRIM(CLEAN(MID(U58, FIND("(", U58)+1, 5))))</f>
        <v>1.6199999999999999E-2</v>
      </c>
      <c r="W11" s="132">
        <v>42787</v>
      </c>
      <c r="X11" s="10">
        <v>51.3</v>
      </c>
      <c r="Y11" s="10">
        <v>51.53</v>
      </c>
      <c r="Z11" s="10">
        <v>50.97</v>
      </c>
      <c r="AA11" s="10">
        <v>51.21</v>
      </c>
      <c r="AB11" s="94">
        <v>6406500</v>
      </c>
      <c r="AC11" s="10">
        <v>51.01</v>
      </c>
      <c r="AD11" s="2">
        <f t="shared" si="0"/>
        <v>0.56000000000000227</v>
      </c>
      <c r="AE11" s="137">
        <f t="shared" si="1"/>
        <v>-3.9192631785234244E-4</v>
      </c>
    </row>
    <row r="12" spans="1:31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42783</v>
      </c>
      <c r="X12" s="10">
        <v>50.59</v>
      </c>
      <c r="Y12" s="10">
        <v>51.23</v>
      </c>
      <c r="Z12" s="10">
        <v>50.19</v>
      </c>
      <c r="AA12" s="10">
        <v>51.23</v>
      </c>
      <c r="AB12" s="94">
        <v>5428000</v>
      </c>
      <c r="AC12" s="10">
        <v>51.03</v>
      </c>
      <c r="AD12" s="2">
        <f t="shared" si="0"/>
        <v>1.0399999999999991</v>
      </c>
      <c r="AE12" s="137">
        <f t="shared" si="1"/>
        <v>7.9004542761207386E-3</v>
      </c>
    </row>
    <row r="13" spans="1:31" x14ac:dyDescent="0.25">
      <c r="B13" s="73"/>
      <c r="C13" s="4"/>
      <c r="D13" s="3"/>
      <c r="E13" s="3"/>
      <c r="F13" s="3"/>
      <c r="G13" s="73"/>
      <c r="H13" s="184"/>
      <c r="I13" s="3"/>
      <c r="J13" s="3"/>
      <c r="K13" s="3"/>
      <c r="L13" s="4"/>
      <c r="M13" s="4"/>
      <c r="W13" s="132">
        <v>42782</v>
      </c>
      <c r="X13" s="10">
        <v>51.16</v>
      </c>
      <c r="Y13" s="10">
        <v>51.17</v>
      </c>
      <c r="Z13" s="10">
        <v>50.59</v>
      </c>
      <c r="AA13" s="10">
        <v>50.83</v>
      </c>
      <c r="AB13" s="94">
        <v>6626700</v>
      </c>
      <c r="AC13" s="10">
        <v>50.63</v>
      </c>
      <c r="AD13" s="2">
        <f t="shared" si="0"/>
        <v>0.57999999999999829</v>
      </c>
      <c r="AE13" s="137">
        <f t="shared" si="1"/>
        <v>-6.6705905434568669E-3</v>
      </c>
    </row>
    <row r="14" spans="1:31" x14ac:dyDescent="0.25">
      <c r="B14" s="73"/>
      <c r="C14" s="4"/>
      <c r="D14" s="3"/>
      <c r="E14" s="3"/>
      <c r="F14" s="3"/>
      <c r="G14" s="73"/>
      <c r="H14" s="184"/>
      <c r="I14" s="3"/>
      <c r="J14" s="3"/>
      <c r="K14" s="3"/>
      <c r="L14" s="4"/>
      <c r="M14" s="4"/>
      <c r="W14" s="132">
        <v>42781</v>
      </c>
      <c r="X14" s="10">
        <v>50.95</v>
      </c>
      <c r="Y14" s="10">
        <v>51.96</v>
      </c>
      <c r="Z14" s="10">
        <v>50.53</v>
      </c>
      <c r="AA14" s="10">
        <v>51.17</v>
      </c>
      <c r="AB14" s="94">
        <v>12705000</v>
      </c>
      <c r="AC14" s="10">
        <v>50.97</v>
      </c>
      <c r="AD14" s="2">
        <f t="shared" si="0"/>
        <v>1.4299999999999997</v>
      </c>
      <c r="AE14" s="137">
        <f t="shared" si="1"/>
        <v>2.637937978252114E-2</v>
      </c>
    </row>
    <row r="15" spans="1:31" x14ac:dyDescent="0.25">
      <c r="B15" s="73"/>
      <c r="C15" s="4"/>
      <c r="D15" s="3"/>
      <c r="E15" s="3"/>
      <c r="F15" s="3"/>
      <c r="G15" s="73"/>
      <c r="H15" s="184"/>
      <c r="I15" s="3"/>
      <c r="J15" s="3"/>
      <c r="K15" s="3"/>
      <c r="L15" s="4"/>
      <c r="M15" s="4"/>
      <c r="W15" s="132">
        <v>42780</v>
      </c>
      <c r="X15" s="10">
        <v>49.82</v>
      </c>
      <c r="Y15" s="10">
        <v>49.99</v>
      </c>
      <c r="Z15" s="10">
        <v>49.1</v>
      </c>
      <c r="AA15" s="10">
        <v>49.86</v>
      </c>
      <c r="AB15" s="94">
        <v>7024600</v>
      </c>
      <c r="AC15" s="10">
        <v>49.66</v>
      </c>
      <c r="AD15" s="2">
        <f t="shared" si="0"/>
        <v>0.89000000000000057</v>
      </c>
      <c r="AE15" s="137">
        <f t="shared" si="1"/>
        <v>-4.0112314480545974E-3</v>
      </c>
    </row>
    <row r="16" spans="1:31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4"/>
      <c r="W16" s="132">
        <v>42779</v>
      </c>
      <c r="X16" s="10">
        <v>49.37</v>
      </c>
      <c r="Y16" s="10">
        <v>50.42</v>
      </c>
      <c r="Z16" s="10">
        <v>49.28</v>
      </c>
      <c r="AA16" s="10">
        <v>50.06</v>
      </c>
      <c r="AB16" s="94">
        <v>6565900</v>
      </c>
      <c r="AC16" s="10">
        <v>49.86</v>
      </c>
      <c r="AD16" s="2">
        <f t="shared" si="0"/>
        <v>1.1400000000000006</v>
      </c>
      <c r="AE16" s="137">
        <f t="shared" si="1"/>
        <v>1.6306563391765172E-2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42776</v>
      </c>
      <c r="X17" s="10">
        <v>49.55</v>
      </c>
      <c r="Y17" s="10">
        <v>49.57</v>
      </c>
      <c r="Z17" s="10">
        <v>49.02</v>
      </c>
      <c r="AA17" s="10">
        <v>49.26</v>
      </c>
      <c r="AB17" s="94">
        <v>5322600</v>
      </c>
      <c r="AC17" s="10">
        <v>49.06</v>
      </c>
      <c r="AD17" s="2">
        <f t="shared" si="0"/>
        <v>0.54999999999999716</v>
      </c>
      <c r="AE17" s="137">
        <f t="shared" si="1"/>
        <v>-1.4247913698350878E-3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42775</v>
      </c>
      <c r="X18" s="10">
        <v>48.1</v>
      </c>
      <c r="Y18" s="10">
        <v>49.55</v>
      </c>
      <c r="Z18" s="10">
        <v>48.1</v>
      </c>
      <c r="AA18" s="10">
        <v>49.33</v>
      </c>
      <c r="AB18" s="94">
        <v>7274700</v>
      </c>
      <c r="AC18" s="10">
        <v>49.13</v>
      </c>
      <c r="AD18" s="2">
        <f t="shared" si="0"/>
        <v>1.4499999999999957</v>
      </c>
      <c r="AE18" s="137">
        <f t="shared" si="1"/>
        <v>2.5464412439991868E-2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42774</v>
      </c>
      <c r="X19" s="10">
        <v>48.26</v>
      </c>
      <c r="Y19" s="10">
        <v>48.3</v>
      </c>
      <c r="Z19" s="10">
        <v>47.73</v>
      </c>
      <c r="AA19" s="10">
        <v>48.1</v>
      </c>
      <c r="AB19" s="94">
        <v>5342600</v>
      </c>
      <c r="AC19" s="10">
        <v>47.91</v>
      </c>
      <c r="AD19" s="2">
        <f t="shared" si="0"/>
        <v>0.57000000000000028</v>
      </c>
      <c r="AE19" s="137">
        <f t="shared" si="1"/>
        <v>-1.0425354462052505E-3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42773</v>
      </c>
      <c r="X20" s="10">
        <v>48.44</v>
      </c>
      <c r="Y20" s="10">
        <v>48.94</v>
      </c>
      <c r="Z20" s="10">
        <v>48.08</v>
      </c>
      <c r="AA20" s="10">
        <v>48.15</v>
      </c>
      <c r="AB20" s="94">
        <v>7262900</v>
      </c>
      <c r="AC20" s="10">
        <v>47.96</v>
      </c>
      <c r="AD20" s="2">
        <f t="shared" si="0"/>
        <v>0.85999999999999943</v>
      </c>
      <c r="AE20" s="137">
        <f t="shared" si="1"/>
        <v>-2.2883295194507935E-3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42772</v>
      </c>
      <c r="X21" s="10">
        <v>48.19</v>
      </c>
      <c r="Y21" s="10">
        <v>48.68</v>
      </c>
      <c r="Z21" s="10">
        <v>47.93</v>
      </c>
      <c r="AA21" s="10">
        <v>48.26</v>
      </c>
      <c r="AB21" s="94">
        <v>7169200</v>
      </c>
      <c r="AC21" s="10">
        <v>48.07</v>
      </c>
      <c r="AD21" s="2">
        <f t="shared" si="0"/>
        <v>0.75</v>
      </c>
      <c r="AE21" s="137">
        <f t="shared" si="1"/>
        <v>9.449811003779951E-3</v>
      </c>
    </row>
    <row r="22" spans="1:31" x14ac:dyDescent="0.25">
      <c r="W22" s="132">
        <v>42769</v>
      </c>
      <c r="X22" s="10">
        <v>47.52</v>
      </c>
      <c r="Y22" s="10">
        <v>48</v>
      </c>
      <c r="Z22" s="10">
        <v>47.41</v>
      </c>
      <c r="AA22" s="10">
        <v>47.81</v>
      </c>
      <c r="AB22" s="94">
        <v>5632300</v>
      </c>
      <c r="AC22" s="10">
        <v>47.62</v>
      </c>
      <c r="AD22" s="2">
        <f t="shared" si="0"/>
        <v>0.59000000000000341</v>
      </c>
      <c r="AE22" s="137">
        <f t="shared" si="1"/>
        <v>9.1121000211908942E-3</v>
      </c>
    </row>
    <row r="23" spans="1:31" x14ac:dyDescent="0.25">
      <c r="W23" s="132">
        <v>42768</v>
      </c>
      <c r="X23" s="10">
        <v>46.59</v>
      </c>
      <c r="Y23" s="10">
        <v>47.66</v>
      </c>
      <c r="Z23" s="10">
        <v>46.48</v>
      </c>
      <c r="AA23" s="10">
        <v>47.38</v>
      </c>
      <c r="AB23" s="94">
        <v>8795700</v>
      </c>
      <c r="AC23" s="10">
        <v>47.19</v>
      </c>
      <c r="AD23" s="2">
        <f t="shared" si="0"/>
        <v>1.1799999999999997</v>
      </c>
      <c r="AE23" s="137">
        <f t="shared" si="1"/>
        <v>2.5493945188017619E-3</v>
      </c>
    </row>
    <row r="24" spans="1:31" x14ac:dyDescent="0.25">
      <c r="W24" s="132">
        <v>42767</v>
      </c>
      <c r="X24" s="10">
        <v>47.48</v>
      </c>
      <c r="Y24" s="10">
        <v>47.77</v>
      </c>
      <c r="Z24" s="10">
        <v>47.04</v>
      </c>
      <c r="AA24" s="10">
        <v>47.26</v>
      </c>
      <c r="AB24" s="94">
        <v>8377500</v>
      </c>
      <c r="AC24" s="10">
        <v>47.07</v>
      </c>
      <c r="AD24" s="2">
        <f t="shared" si="0"/>
        <v>0.73000000000000398</v>
      </c>
      <c r="AE24" s="137">
        <f t="shared" si="1"/>
        <v>4.2507970244431981E-4</v>
      </c>
    </row>
    <row r="25" spans="1:31" x14ac:dyDescent="0.25">
      <c r="W25" s="132">
        <v>42766</v>
      </c>
      <c r="X25" s="10">
        <v>47.79</v>
      </c>
      <c r="Y25" s="10">
        <v>47.83</v>
      </c>
      <c r="Z25" s="10">
        <v>46.57</v>
      </c>
      <c r="AA25" s="10">
        <v>47.24</v>
      </c>
      <c r="AB25" s="94">
        <v>12533800</v>
      </c>
      <c r="AC25" s="10">
        <v>47.05</v>
      </c>
      <c r="AD25" s="2">
        <f t="shared" si="0"/>
        <v>1.259999999999998</v>
      </c>
      <c r="AE25" s="137">
        <f t="shared" si="1"/>
        <v>-9.0564448188711344E-3</v>
      </c>
    </row>
    <row r="26" spans="1:31" x14ac:dyDescent="0.25">
      <c r="W26" s="132">
        <v>42765</v>
      </c>
      <c r="X26" s="10">
        <v>48.95</v>
      </c>
      <c r="Y26" s="10">
        <v>48.95</v>
      </c>
      <c r="Z26" s="10">
        <v>47.54</v>
      </c>
      <c r="AA26" s="10">
        <v>47.67</v>
      </c>
      <c r="AB26" s="94">
        <v>12745600</v>
      </c>
      <c r="AC26" s="10">
        <v>47.48</v>
      </c>
      <c r="AD26" s="2">
        <f t="shared" si="0"/>
        <v>1.4100000000000037</v>
      </c>
      <c r="AE26" s="137">
        <f t="shared" si="1"/>
        <v>-4.0808080808080849E-2</v>
      </c>
    </row>
    <row r="27" spans="1:31" x14ac:dyDescent="0.25">
      <c r="W27" s="132">
        <v>42762</v>
      </c>
      <c r="X27" s="10">
        <v>51</v>
      </c>
      <c r="Y27" s="10">
        <v>51.12</v>
      </c>
      <c r="Z27" s="10">
        <v>49.57</v>
      </c>
      <c r="AA27" s="10">
        <v>49.7</v>
      </c>
      <c r="AB27" s="94">
        <v>6852000</v>
      </c>
      <c r="AC27" s="10">
        <v>49.5</v>
      </c>
      <c r="AD27" s="2">
        <f t="shared" si="0"/>
        <v>1.5499999999999972</v>
      </c>
      <c r="AE27" s="137">
        <f t="shared" si="1"/>
        <v>-2.3668639053254448E-2</v>
      </c>
    </row>
    <row r="28" spans="1:31" x14ac:dyDescent="0.25">
      <c r="H28" s="71"/>
      <c r="W28" s="132">
        <v>42761</v>
      </c>
      <c r="X28" s="10">
        <v>50.69</v>
      </c>
      <c r="Y28" s="10">
        <v>51.54</v>
      </c>
      <c r="Z28" s="10">
        <v>50.56</v>
      </c>
      <c r="AA28" s="10">
        <v>50.9</v>
      </c>
      <c r="AB28" s="94">
        <v>8905600</v>
      </c>
      <c r="AC28" s="10">
        <v>50.7</v>
      </c>
      <c r="AD28" s="2">
        <f t="shared" si="0"/>
        <v>0.97999999999999687</v>
      </c>
      <c r="AE28" s="137">
        <f t="shared" si="1"/>
        <v>1.4202840568113606E-2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42760</v>
      </c>
      <c r="X29" s="10">
        <v>49.99</v>
      </c>
      <c r="Y29" s="10">
        <v>50.43</v>
      </c>
      <c r="Z29" s="10">
        <v>49.81</v>
      </c>
      <c r="AA29" s="10">
        <v>50.19</v>
      </c>
      <c r="AB29" s="94">
        <v>8096300</v>
      </c>
      <c r="AC29" s="10">
        <v>49.99</v>
      </c>
      <c r="AD29" s="2">
        <f t="shared" si="0"/>
        <v>0.61999999999999744</v>
      </c>
      <c r="AE29" s="137">
        <f t="shared" si="1"/>
        <v>1.523151909017062E-2</v>
      </c>
    </row>
    <row r="30" spans="1:31" ht="15.75" thickBot="1" x14ac:dyDescent="0.3">
      <c r="A30" s="353" t="s">
        <v>197</v>
      </c>
      <c r="B30" s="354"/>
      <c r="C30" s="355">
        <f>SumByColor($A$30,C2:C28)</f>
        <v>0</v>
      </c>
      <c r="D30" s="355"/>
      <c r="E30" s="355"/>
      <c r="F30" s="356">
        <f>SumByColor($A$30,F2:F28)</f>
        <v>0</v>
      </c>
      <c r="G30" s="355"/>
      <c r="H30" s="355">
        <f>SumByColor($A$30,H3:H28)</f>
        <v>0</v>
      </c>
      <c r="I30" s="355"/>
      <c r="J30" s="355"/>
      <c r="K30" s="356">
        <f>SumByColor($A$30,K3:K28)</f>
        <v>0</v>
      </c>
      <c r="L30" s="355"/>
      <c r="M30" s="356">
        <f>SumByColor($A$30,M2:M28)</f>
        <v>0</v>
      </c>
      <c r="W30" s="132">
        <v>42759</v>
      </c>
      <c r="X30" s="10">
        <v>48.91</v>
      </c>
      <c r="Y30" s="10">
        <v>49.76</v>
      </c>
      <c r="Z30" s="10">
        <v>48.82</v>
      </c>
      <c r="AA30" s="10">
        <v>49.44</v>
      </c>
      <c r="AB30" s="94">
        <v>6398100</v>
      </c>
      <c r="AC30" s="10">
        <v>49.24</v>
      </c>
      <c r="AD30" s="2">
        <f t="shared" si="0"/>
        <v>0.93999999999999773</v>
      </c>
      <c r="AE30" s="137">
        <f t="shared" si="1"/>
        <v>1.3585837793330668E-2</v>
      </c>
    </row>
    <row r="31" spans="1:31" x14ac:dyDescent="0.25">
      <c r="W31" s="132">
        <v>42758</v>
      </c>
      <c r="X31" s="10">
        <v>50.28</v>
      </c>
      <c r="Y31" s="10">
        <v>50.43</v>
      </c>
      <c r="Z31" s="10">
        <v>48.77</v>
      </c>
      <c r="AA31" s="10">
        <v>48.77</v>
      </c>
      <c r="AB31" s="94">
        <v>8753100</v>
      </c>
      <c r="AC31" s="10">
        <v>48.58</v>
      </c>
      <c r="AD31" s="2">
        <f t="shared" si="0"/>
        <v>1.6599999999999966</v>
      </c>
      <c r="AE31" s="137">
        <f t="shared" si="1"/>
        <v>-3.4194831013916516E-2</v>
      </c>
    </row>
    <row r="32" spans="1:31" x14ac:dyDescent="0.25">
      <c r="W32" s="132">
        <v>42755</v>
      </c>
      <c r="X32" s="10">
        <v>49.77</v>
      </c>
      <c r="Y32" s="10">
        <v>50.54</v>
      </c>
      <c r="Z32" s="10">
        <v>49.71</v>
      </c>
      <c r="AA32" s="10">
        <v>50.5</v>
      </c>
      <c r="AB32" s="94">
        <v>7722400</v>
      </c>
      <c r="AC32" s="10">
        <v>50.3</v>
      </c>
      <c r="AD32" s="2">
        <f t="shared" si="0"/>
        <v>0.82999999999999829</v>
      </c>
      <c r="AE32" s="137">
        <f t="shared" si="1"/>
        <v>1.6161616161616044E-2</v>
      </c>
    </row>
    <row r="33" spans="2:31" x14ac:dyDescent="0.25">
      <c r="W33" s="132">
        <v>42754</v>
      </c>
      <c r="X33" s="10">
        <v>50.28</v>
      </c>
      <c r="Y33" s="10">
        <v>50.5</v>
      </c>
      <c r="Z33" s="10">
        <v>49.62</v>
      </c>
      <c r="AA33" s="10">
        <v>49.7</v>
      </c>
      <c r="AB33" s="94">
        <v>7012700</v>
      </c>
      <c r="AC33" s="10">
        <v>49.5</v>
      </c>
      <c r="AD33" s="2">
        <f t="shared" si="0"/>
        <v>0.88000000000000256</v>
      </c>
      <c r="AE33" s="137">
        <f t="shared" si="1"/>
        <v>-1.19760479041916E-2</v>
      </c>
    </row>
    <row r="34" spans="2:31" x14ac:dyDescent="0.25">
      <c r="W34" s="132">
        <v>42753</v>
      </c>
      <c r="X34" s="10">
        <v>50.14</v>
      </c>
      <c r="Y34" s="10">
        <v>50.8</v>
      </c>
      <c r="Z34" s="10">
        <v>49.79</v>
      </c>
      <c r="AA34" s="10">
        <v>50.3</v>
      </c>
      <c r="AB34" s="94">
        <v>7076500</v>
      </c>
      <c r="AC34" s="10">
        <v>50.1</v>
      </c>
      <c r="AD34" s="2">
        <f t="shared" si="0"/>
        <v>1.009999999999998</v>
      </c>
      <c r="AE34" s="137">
        <f t="shared" si="1"/>
        <v>-5.9844404548181629E-4</v>
      </c>
    </row>
    <row r="35" spans="2:31" x14ac:dyDescent="0.25">
      <c r="B35" s="268" t="s">
        <v>114</v>
      </c>
      <c r="C35" s="268" t="s">
        <v>147</v>
      </c>
      <c r="D35" s="269" t="s">
        <v>146</v>
      </c>
      <c r="E35" s="270" t="s">
        <v>148</v>
      </c>
      <c r="F35" s="270" t="s">
        <v>65</v>
      </c>
      <c r="G35" s="272" t="s">
        <v>152</v>
      </c>
      <c r="H35" s="272" t="s">
        <v>88</v>
      </c>
      <c r="I35" s="272" t="s">
        <v>155</v>
      </c>
      <c r="W35" s="132">
        <v>42752</v>
      </c>
      <c r="X35" s="10">
        <v>50.99</v>
      </c>
      <c r="Y35" s="10">
        <v>51.22</v>
      </c>
      <c r="Z35" s="10">
        <v>50.19</v>
      </c>
      <c r="AA35" s="10">
        <v>50.33</v>
      </c>
      <c r="AB35" s="94">
        <v>7477500</v>
      </c>
      <c r="AC35" s="10">
        <v>50.13</v>
      </c>
      <c r="AD35" s="2">
        <f t="shared" si="0"/>
        <v>1.0300000000000011</v>
      </c>
      <c r="AE35" s="137">
        <f t="shared" si="1"/>
        <v>-1.7636684303350969E-2</v>
      </c>
    </row>
    <row r="36" spans="2:31" x14ac:dyDescent="0.25">
      <c r="B36" s="265">
        <v>42524</v>
      </c>
      <c r="C36" s="260">
        <v>200</v>
      </c>
      <c r="D36" s="529">
        <v>42.3598</v>
      </c>
      <c r="E36" s="261">
        <v>41.755000000000003</v>
      </c>
      <c r="F36" s="261">
        <f t="shared" ref="F36:F45" si="2">C36*(E36-D36)</f>
        <v>-120.95999999999947</v>
      </c>
      <c r="G36" s="261">
        <f>D36*C36</f>
        <v>8471.9599999999991</v>
      </c>
      <c r="H36" s="275">
        <f>(E36-D36)/D36</f>
        <v>-1.4277687807779955E-2</v>
      </c>
      <c r="I36" s="261"/>
      <c r="W36" s="132">
        <v>42748</v>
      </c>
      <c r="X36" s="10">
        <v>50.79</v>
      </c>
      <c r="Y36" s="10">
        <v>51.64</v>
      </c>
      <c r="Z36" s="10">
        <v>50.78</v>
      </c>
      <c r="AA36" s="10">
        <v>51.23</v>
      </c>
      <c r="AB36" s="94">
        <v>7380600</v>
      </c>
      <c r="AC36" s="10">
        <v>51.03</v>
      </c>
      <c r="AD36" s="2">
        <f t="shared" si="0"/>
        <v>0.85999999999999943</v>
      </c>
      <c r="AE36" s="137">
        <f t="shared" si="1"/>
        <v>6.7074373643718488E-3</v>
      </c>
    </row>
    <row r="37" spans="2:31" x14ac:dyDescent="0.25">
      <c r="B37" s="265">
        <v>42527</v>
      </c>
      <c r="C37" s="260">
        <v>200</v>
      </c>
      <c r="D37" s="261">
        <v>42.3598</v>
      </c>
      <c r="E37" s="261">
        <v>41.28</v>
      </c>
      <c r="F37" s="261">
        <f t="shared" si="2"/>
        <v>-215.95999999999975</v>
      </c>
      <c r="G37" s="261">
        <f>D37*C37</f>
        <v>8471.9599999999991</v>
      </c>
      <c r="H37" s="275">
        <f>(E37-D37)/D37</f>
        <v>-2.5491149627713039E-2</v>
      </c>
      <c r="I37" s="261"/>
      <c r="W37" s="132">
        <v>42747</v>
      </c>
      <c r="X37" s="10">
        <v>51.3</v>
      </c>
      <c r="Y37" s="10">
        <v>52</v>
      </c>
      <c r="Z37" s="10">
        <v>49.67</v>
      </c>
      <c r="AA37" s="10">
        <v>50.89</v>
      </c>
      <c r="AB37" s="94">
        <v>14284800</v>
      </c>
      <c r="AC37" s="10">
        <v>50.69</v>
      </c>
      <c r="AD37" s="2">
        <f t="shared" si="0"/>
        <v>2.3299999999999983</v>
      </c>
      <c r="AE37" s="137">
        <f t="shared" si="1"/>
        <v>-1.0733801717408342E-2</v>
      </c>
    </row>
    <row r="38" spans="2:31" x14ac:dyDescent="0.25">
      <c r="B38" s="265">
        <v>42533</v>
      </c>
      <c r="C38" s="260">
        <v>200</v>
      </c>
      <c r="D38" s="261">
        <v>42.36</v>
      </c>
      <c r="E38" s="261">
        <v>42.04</v>
      </c>
      <c r="F38" s="261">
        <f t="shared" si="2"/>
        <v>-64.000000000000057</v>
      </c>
      <c r="G38" s="261">
        <f>D38*C38</f>
        <v>8472</v>
      </c>
      <c r="H38" s="275">
        <f>(E38-D38)/D38</f>
        <v>-7.5542965061378723E-3</v>
      </c>
      <c r="I38" s="261"/>
      <c r="W38" s="132">
        <v>42746</v>
      </c>
      <c r="X38" s="10">
        <v>51.46</v>
      </c>
      <c r="Y38" s="10">
        <v>51.74</v>
      </c>
      <c r="Z38" s="10">
        <v>50.65</v>
      </c>
      <c r="AA38" s="10">
        <v>51.44</v>
      </c>
      <c r="AB38" s="94">
        <v>10001600</v>
      </c>
      <c r="AC38" s="10">
        <v>51.24</v>
      </c>
      <c r="AD38" s="2">
        <f t="shared" si="0"/>
        <v>1.0900000000000034</v>
      </c>
      <c r="AE38" s="137">
        <f t="shared" si="1"/>
        <v>1.0053222945002993E-2</v>
      </c>
    </row>
    <row r="39" spans="2:31" x14ac:dyDescent="0.25">
      <c r="B39" s="265">
        <v>42534</v>
      </c>
      <c r="C39" s="260">
        <v>200</v>
      </c>
      <c r="D39" s="261">
        <v>42.3598</v>
      </c>
      <c r="E39" s="261">
        <v>40.57</v>
      </c>
      <c r="F39" s="261">
        <f t="shared" si="2"/>
        <v>-357.95999999999992</v>
      </c>
      <c r="G39" s="261">
        <f t="shared" ref="G39:G45" si="3">D39*C39</f>
        <v>8471.9599999999991</v>
      </c>
      <c r="H39" s="275">
        <f t="shared" ref="H39:H45" si="4">(E39-D39)/D39</f>
        <v>-4.2252324137507721E-2</v>
      </c>
      <c r="I39" s="261"/>
      <c r="W39" s="132">
        <v>42745</v>
      </c>
      <c r="X39" s="10">
        <v>49.93</v>
      </c>
      <c r="Y39" s="10">
        <v>51.35</v>
      </c>
      <c r="Z39" s="10">
        <v>49.86</v>
      </c>
      <c r="AA39" s="10">
        <v>50.93</v>
      </c>
      <c r="AB39" s="94">
        <v>8440500</v>
      </c>
      <c r="AC39" s="10">
        <v>50.73</v>
      </c>
      <c r="AD39" s="2">
        <f t="shared" si="0"/>
        <v>1.490000000000002</v>
      </c>
      <c r="AE39" s="137">
        <f t="shared" si="1"/>
        <v>2.5055566781167826E-2</v>
      </c>
    </row>
    <row r="40" spans="2:31" x14ac:dyDescent="0.25">
      <c r="B40" s="265">
        <v>42535</v>
      </c>
      <c r="C40" s="260">
        <v>300</v>
      </c>
      <c r="D40" s="261">
        <v>41.523200000000003</v>
      </c>
      <c r="E40" s="261">
        <v>39.11</v>
      </c>
      <c r="F40" s="261">
        <f t="shared" si="2"/>
        <v>-723.96000000000095</v>
      </c>
      <c r="G40" s="261">
        <f t="shared" si="3"/>
        <v>12456.960000000001</v>
      </c>
      <c r="H40" s="275">
        <f t="shared" si="4"/>
        <v>-5.8116908138101185E-2</v>
      </c>
      <c r="I40" s="261"/>
      <c r="W40" s="132">
        <v>42744</v>
      </c>
      <c r="X40" s="10">
        <v>49.46</v>
      </c>
      <c r="Y40" s="10">
        <v>50.17</v>
      </c>
      <c r="Z40" s="10">
        <v>49.42</v>
      </c>
      <c r="AA40" s="10">
        <v>49.69</v>
      </c>
      <c r="AB40" s="94">
        <v>5330100</v>
      </c>
      <c r="AC40" s="10">
        <v>49.49</v>
      </c>
      <c r="AD40" s="2">
        <f t="shared" si="0"/>
        <v>0.75</v>
      </c>
      <c r="AE40" s="137">
        <f t="shared" si="1"/>
        <v>2.0210185933722258E-4</v>
      </c>
    </row>
    <row r="41" spans="2:31" x14ac:dyDescent="0.25">
      <c r="B41" s="265">
        <v>42537</v>
      </c>
      <c r="C41" s="260">
        <v>400</v>
      </c>
      <c r="D41" s="261">
        <v>40.604900000000001</v>
      </c>
      <c r="E41" s="261">
        <v>38.020000000000003</v>
      </c>
      <c r="F41" s="261">
        <f t="shared" si="2"/>
        <v>-1033.9599999999991</v>
      </c>
      <c r="G41" s="261">
        <f t="shared" si="3"/>
        <v>16241.960000000001</v>
      </c>
      <c r="H41" s="275">
        <f t="shared" si="4"/>
        <v>-6.3659804604862896E-2</v>
      </c>
      <c r="I41" s="261"/>
      <c r="Q41" s="2"/>
      <c r="W41" s="132">
        <v>42741</v>
      </c>
      <c r="X41" s="10">
        <v>49.79</v>
      </c>
      <c r="Y41" s="10">
        <v>50.3</v>
      </c>
      <c r="Z41" s="10">
        <v>49.22</v>
      </c>
      <c r="AA41" s="10">
        <v>49.68</v>
      </c>
      <c r="AB41" s="94">
        <v>6922700</v>
      </c>
      <c r="AC41" s="10">
        <v>49.48</v>
      </c>
      <c r="AD41" s="2">
        <f t="shared" si="0"/>
        <v>1.0799999999999983</v>
      </c>
      <c r="AE41" s="137">
        <f t="shared" si="1"/>
        <v>-1.0094891984656629E-3</v>
      </c>
    </row>
    <row r="42" spans="2:31" ht="20.25" thickBot="1" x14ac:dyDescent="0.35">
      <c r="B42" s="265">
        <v>42542</v>
      </c>
      <c r="C42" s="260">
        <v>400</v>
      </c>
      <c r="D42" s="261">
        <v>40.604900000000001</v>
      </c>
      <c r="E42" s="261">
        <v>38.67</v>
      </c>
      <c r="F42" s="261">
        <f t="shared" si="2"/>
        <v>-773.95999999999958</v>
      </c>
      <c r="G42" s="261">
        <f t="shared" si="3"/>
        <v>16241.960000000001</v>
      </c>
      <c r="H42" s="275">
        <f t="shared" si="4"/>
        <v>-4.7651884378486317E-2</v>
      </c>
      <c r="I42" s="261"/>
      <c r="O42" s="703" t="s">
        <v>78</v>
      </c>
      <c r="P42" s="703"/>
      <c r="Q42" s="2"/>
      <c r="T42" s="90" t="s">
        <v>113</v>
      </c>
      <c r="W42" s="132">
        <v>42740</v>
      </c>
      <c r="X42" s="10">
        <v>50.41</v>
      </c>
      <c r="Y42" s="10">
        <v>50.69</v>
      </c>
      <c r="Z42" s="10">
        <v>49.5</v>
      </c>
      <c r="AA42" s="10">
        <v>49.73</v>
      </c>
      <c r="AB42" s="94">
        <v>5806200</v>
      </c>
      <c r="AC42" s="10">
        <v>49.53</v>
      </c>
      <c r="AD42" s="2">
        <f t="shared" si="0"/>
        <v>1.1899999999999977</v>
      </c>
      <c r="AE42" s="137">
        <f t="shared" si="1"/>
        <v>-1.9207920792079225E-2</v>
      </c>
    </row>
    <row r="43" spans="2:31" ht="15.75" thickTop="1" x14ac:dyDescent="0.25">
      <c r="B43" s="265">
        <v>42545</v>
      </c>
      <c r="C43" s="260">
        <v>500</v>
      </c>
      <c r="D43" s="261">
        <v>39.685899999999997</v>
      </c>
      <c r="E43" s="261">
        <v>38.31</v>
      </c>
      <c r="F43" s="261">
        <f t="shared" si="2"/>
        <v>-687.9499999999972</v>
      </c>
      <c r="G43" s="261">
        <f t="shared" si="3"/>
        <v>19842.949999999997</v>
      </c>
      <c r="H43" s="275">
        <f t="shared" si="4"/>
        <v>-3.466974416606388E-2</v>
      </c>
      <c r="I43" s="261"/>
      <c r="O43" s="82">
        <v>1.1000000000000001</v>
      </c>
      <c r="P43" s="82">
        <f>O43*$Q$4</f>
        <v>52.701000000000001</v>
      </c>
      <c r="Q43" s="2"/>
      <c r="T43" s="127" t="s">
        <v>98</v>
      </c>
      <c r="U43" s="97">
        <v>49.96</v>
      </c>
      <c r="W43" s="132">
        <v>42739</v>
      </c>
      <c r="X43" s="10">
        <v>50.09</v>
      </c>
      <c r="Y43" s="10">
        <v>50.93</v>
      </c>
      <c r="Z43" s="10">
        <v>49.99</v>
      </c>
      <c r="AA43" s="10">
        <v>50.7</v>
      </c>
      <c r="AB43" s="94">
        <v>7898600</v>
      </c>
      <c r="AC43" s="10">
        <v>50.5</v>
      </c>
      <c r="AD43" s="2">
        <f t="shared" si="0"/>
        <v>0.93999999999999773</v>
      </c>
      <c r="AE43" s="137">
        <f t="shared" si="1"/>
        <v>2.4756493506493449E-2</v>
      </c>
    </row>
    <row r="44" spans="2:31" x14ac:dyDescent="0.25">
      <c r="B44" s="265">
        <v>42545</v>
      </c>
      <c r="C44" s="260">
        <v>500</v>
      </c>
      <c r="D44" s="261">
        <v>39.487099999999998</v>
      </c>
      <c r="E44" s="261">
        <v>35.18</v>
      </c>
      <c r="F44" s="261">
        <f t="shared" si="2"/>
        <v>-2153.5499999999993</v>
      </c>
      <c r="G44" s="261">
        <f t="shared" si="3"/>
        <v>19743.55</v>
      </c>
      <c r="H44" s="275">
        <f t="shared" si="4"/>
        <v>-0.10907612865973948</v>
      </c>
      <c r="I44" s="261"/>
      <c r="O44" s="82">
        <v>1.0900000000000001</v>
      </c>
      <c r="P44" s="82">
        <f t="shared" ref="P44:P63" si="5">O44*$Q$4</f>
        <v>52.221899999999998</v>
      </c>
      <c r="Q44" s="2"/>
      <c r="T44" s="92" t="s">
        <v>99</v>
      </c>
      <c r="U44" s="87">
        <v>50.01</v>
      </c>
      <c r="W44" s="132">
        <v>42738</v>
      </c>
      <c r="X44" s="10">
        <v>49.37</v>
      </c>
      <c r="Y44" s="10">
        <v>50.14</v>
      </c>
      <c r="Z44" s="10">
        <v>49.17</v>
      </c>
      <c r="AA44" s="10">
        <v>49.48</v>
      </c>
      <c r="AB44" s="94">
        <v>5423200</v>
      </c>
      <c r="AC44" s="10">
        <v>49.28</v>
      </c>
      <c r="AD44" s="2">
        <f t="shared" si="0"/>
        <v>0.96999999999999886</v>
      </c>
      <c r="AE44" s="137">
        <f t="shared" si="1"/>
        <v>5.7142857142857828E-3</v>
      </c>
    </row>
    <row r="45" spans="2:31" x14ac:dyDescent="0.25">
      <c r="B45" s="265">
        <v>42548</v>
      </c>
      <c r="C45" s="260">
        <v>600</v>
      </c>
      <c r="D45" s="261">
        <v>38.552599999999998</v>
      </c>
      <c r="E45" s="261">
        <v>33.36</v>
      </c>
      <c r="F45" s="261">
        <f t="shared" si="2"/>
        <v>-3115.5599999999995</v>
      </c>
      <c r="G45" s="261">
        <f t="shared" si="3"/>
        <v>23131.559999999998</v>
      </c>
      <c r="H45" s="275">
        <f t="shared" si="4"/>
        <v>-0.13468871100781787</v>
      </c>
      <c r="I45" s="261"/>
      <c r="O45" s="82">
        <v>1.08</v>
      </c>
      <c r="P45" s="82">
        <f t="shared" si="5"/>
        <v>51.742800000000003</v>
      </c>
      <c r="Q45" s="2"/>
      <c r="T45" s="92" t="s">
        <v>100</v>
      </c>
      <c r="U45" s="87" t="s">
        <v>129</v>
      </c>
      <c r="W45" s="132">
        <v>42734</v>
      </c>
      <c r="X45" s="10">
        <v>49.34</v>
      </c>
      <c r="Y45" s="10">
        <v>49.56</v>
      </c>
      <c r="Z45" s="10">
        <v>48.87</v>
      </c>
      <c r="AA45" s="10">
        <v>49.19</v>
      </c>
      <c r="AB45" s="94">
        <v>4532400</v>
      </c>
      <c r="AC45" s="10">
        <v>49</v>
      </c>
      <c r="AD45" s="2">
        <f t="shared" si="0"/>
        <v>0.69000000000000483</v>
      </c>
      <c r="AE45" s="137">
        <f t="shared" si="1"/>
        <v>-2.2398696803095364E-3</v>
      </c>
    </row>
    <row r="46" spans="2:31" x14ac:dyDescent="0.25">
      <c r="B46" s="265">
        <v>42549</v>
      </c>
      <c r="C46" s="260">
        <v>600</v>
      </c>
      <c r="D46" s="261">
        <v>38.552599999999998</v>
      </c>
      <c r="E46" s="261">
        <v>34.67</v>
      </c>
      <c r="F46" s="261">
        <f t="shared" ref="F46:F88" si="6">C46*(E46-D46)</f>
        <v>-2329.5599999999977</v>
      </c>
      <c r="G46" s="261">
        <f t="shared" ref="G46:G88" si="7">D46*C46</f>
        <v>23131.559999999998</v>
      </c>
      <c r="H46" s="275">
        <f t="shared" ref="H46:H88" si="8">(E46-D46)/D46</f>
        <v>-0.10070916099043895</v>
      </c>
      <c r="I46" s="261"/>
      <c r="O46" s="82">
        <v>1.07</v>
      </c>
      <c r="P46" s="82">
        <f t="shared" si="5"/>
        <v>51.2637</v>
      </c>
      <c r="Q46" s="2"/>
      <c r="T46" s="92" t="s">
        <v>101</v>
      </c>
      <c r="U46" s="87" t="s">
        <v>129</v>
      </c>
      <c r="W46" s="132">
        <v>42733</v>
      </c>
      <c r="X46" s="10">
        <v>49.54</v>
      </c>
      <c r="Y46" s="10">
        <v>49.85</v>
      </c>
      <c r="Z46" s="10">
        <v>49.21</v>
      </c>
      <c r="AA46" s="10">
        <v>49.31</v>
      </c>
      <c r="AB46" s="94">
        <v>3348300</v>
      </c>
      <c r="AC46" s="10">
        <v>49.11</v>
      </c>
      <c r="AD46" s="2">
        <f t="shared" si="0"/>
        <v>0.64000000000000057</v>
      </c>
      <c r="AE46" s="137">
        <f t="shared" si="1"/>
        <v>-4.055972419387599E-3</v>
      </c>
    </row>
    <row r="47" spans="2:31" x14ac:dyDescent="0.25">
      <c r="B47" s="265">
        <v>42552</v>
      </c>
      <c r="C47" s="260">
        <v>600</v>
      </c>
      <c r="D47" s="261">
        <v>38.552599999999998</v>
      </c>
      <c r="E47" s="261">
        <v>36.770000000000003</v>
      </c>
      <c r="F47" s="261">
        <f t="shared" si="6"/>
        <v>-1069.559999999997</v>
      </c>
      <c r="G47" s="261">
        <f t="shared" si="7"/>
        <v>23131.559999999998</v>
      </c>
      <c r="H47" s="275">
        <f t="shared" si="8"/>
        <v>-4.6238126611434643E-2</v>
      </c>
      <c r="I47" s="261"/>
      <c r="O47" s="82">
        <v>1.06</v>
      </c>
      <c r="P47" s="82">
        <f t="shared" si="5"/>
        <v>50.784599999999998</v>
      </c>
      <c r="Q47" s="2"/>
      <c r="T47" s="92" t="s">
        <v>102</v>
      </c>
      <c r="U47" s="87">
        <v>0.4</v>
      </c>
      <c r="W47" s="132">
        <v>42732</v>
      </c>
      <c r="X47" s="10">
        <v>50.35</v>
      </c>
      <c r="Y47" s="10">
        <v>50.46</v>
      </c>
      <c r="Z47" s="10">
        <v>49.45</v>
      </c>
      <c r="AA47" s="10">
        <v>49.51</v>
      </c>
      <c r="AB47" s="94">
        <v>4520200</v>
      </c>
      <c r="AC47" s="10">
        <v>49.31</v>
      </c>
      <c r="AD47" s="2">
        <f t="shared" si="0"/>
        <v>1.009999999999998</v>
      </c>
      <c r="AE47" s="137">
        <f t="shared" si="1"/>
        <v>-1.694577352472082E-2</v>
      </c>
    </row>
    <row r="48" spans="2:31" x14ac:dyDescent="0.25">
      <c r="B48" s="265">
        <v>42556</v>
      </c>
      <c r="C48" s="274">
        <v>600</v>
      </c>
      <c r="D48" s="367">
        <v>38.552599999999998</v>
      </c>
      <c r="E48" s="261">
        <v>35.619999999999997</v>
      </c>
      <c r="F48" s="261">
        <f t="shared" si="6"/>
        <v>-1759.5600000000004</v>
      </c>
      <c r="G48" s="261">
        <f t="shared" si="7"/>
        <v>23131.559999999998</v>
      </c>
      <c r="H48" s="275">
        <f t="shared" si="8"/>
        <v>-7.6067502580889512E-2</v>
      </c>
      <c r="I48" s="261"/>
      <c r="O48" s="82">
        <v>1.05</v>
      </c>
      <c r="P48" s="82">
        <f t="shared" si="5"/>
        <v>50.305499999999995</v>
      </c>
      <c r="Q48" s="2"/>
      <c r="T48" s="92" t="s">
        <v>103</v>
      </c>
      <c r="U48" s="87">
        <v>1.0500100000000001</v>
      </c>
      <c r="W48" s="132">
        <v>42731</v>
      </c>
      <c r="X48" s="10">
        <v>49.95</v>
      </c>
      <c r="Y48" s="10">
        <v>50.61</v>
      </c>
      <c r="Z48" s="10">
        <v>49.93</v>
      </c>
      <c r="AA48" s="10">
        <v>50.36</v>
      </c>
      <c r="AB48" s="94">
        <v>3365600</v>
      </c>
      <c r="AC48" s="10">
        <v>50.16</v>
      </c>
      <c r="AD48" s="2">
        <f t="shared" si="0"/>
        <v>0.67999999999999972</v>
      </c>
      <c r="AE48" s="137">
        <f t="shared" si="1"/>
        <v>9.4586435902594967E-3</v>
      </c>
    </row>
    <row r="49" spans="2:31" x14ac:dyDescent="0.25">
      <c r="B49" s="265">
        <v>42559</v>
      </c>
      <c r="C49" s="274">
        <v>600</v>
      </c>
      <c r="D49" s="367">
        <v>38.552599999999998</v>
      </c>
      <c r="E49" s="261">
        <v>37.369999999999997</v>
      </c>
      <c r="F49" s="261">
        <f t="shared" si="6"/>
        <v>-709.5600000000004</v>
      </c>
      <c r="G49" s="261">
        <f t="shared" si="7"/>
        <v>23131.559999999998</v>
      </c>
      <c r="H49" s="275">
        <f t="shared" si="8"/>
        <v>-3.0674973931719283E-2</v>
      </c>
      <c r="I49" s="261"/>
      <c r="O49" s="82">
        <v>1.04</v>
      </c>
      <c r="P49" s="82">
        <f t="shared" si="5"/>
        <v>49.8264</v>
      </c>
      <c r="Q49" s="2"/>
      <c r="T49" s="92" t="s">
        <v>122</v>
      </c>
      <c r="U49" s="87" t="s">
        <v>367</v>
      </c>
      <c r="W49" s="132">
        <v>42727</v>
      </c>
      <c r="X49" s="10">
        <v>49.94</v>
      </c>
      <c r="Y49" s="10">
        <v>50.14</v>
      </c>
      <c r="Z49" s="10">
        <v>49.78</v>
      </c>
      <c r="AA49" s="10">
        <v>49.89</v>
      </c>
      <c r="AB49" s="94">
        <v>4046300</v>
      </c>
      <c r="AC49" s="10">
        <v>49.69</v>
      </c>
      <c r="AD49" s="2">
        <f t="shared" si="0"/>
        <v>0.35999999999999943</v>
      </c>
      <c r="AE49" s="137">
        <f t="shared" si="1"/>
        <v>1.8145161290321621E-3</v>
      </c>
    </row>
    <row r="50" spans="2:31" x14ac:dyDescent="0.25">
      <c r="B50" s="265">
        <v>42562</v>
      </c>
      <c r="C50" s="274">
        <v>600</v>
      </c>
      <c r="D50" s="367">
        <v>38.552599999999998</v>
      </c>
      <c r="E50" s="261">
        <v>38.119999999999997</v>
      </c>
      <c r="F50" s="261">
        <f t="shared" si="6"/>
        <v>-259.56000000000046</v>
      </c>
      <c r="G50" s="261">
        <f t="shared" si="7"/>
        <v>23131.559999999998</v>
      </c>
      <c r="H50" s="275">
        <f t="shared" si="8"/>
        <v>-1.1221033082074899E-2</v>
      </c>
      <c r="I50" s="261"/>
      <c r="O50" s="82">
        <v>1.03</v>
      </c>
      <c r="P50" s="82">
        <f t="shared" si="5"/>
        <v>49.347299999999997</v>
      </c>
      <c r="Q50" s="2"/>
      <c r="T50" s="92"/>
      <c r="U50" s="87"/>
      <c r="W50" s="132">
        <v>42726</v>
      </c>
      <c r="X50" s="10">
        <v>50.77</v>
      </c>
      <c r="Y50" s="10">
        <v>50.85</v>
      </c>
      <c r="Z50" s="10">
        <v>49.66</v>
      </c>
      <c r="AA50" s="10">
        <v>49.8</v>
      </c>
      <c r="AB50" s="94">
        <v>5407300</v>
      </c>
      <c r="AC50" s="10">
        <v>49.6</v>
      </c>
      <c r="AD50" s="2">
        <f t="shared" si="0"/>
        <v>1.1900000000000048</v>
      </c>
      <c r="AE50" s="137">
        <f t="shared" si="1"/>
        <v>-2.2082018927444769E-2</v>
      </c>
    </row>
    <row r="51" spans="2:31" x14ac:dyDescent="0.25">
      <c r="B51" s="265">
        <v>42563</v>
      </c>
      <c r="C51" s="260">
        <v>500</v>
      </c>
      <c r="D51" s="261">
        <v>38.395200000000003</v>
      </c>
      <c r="E51" s="261">
        <v>40.21</v>
      </c>
      <c r="F51" s="261">
        <f t="shared" si="6"/>
        <v>907.39999999999907</v>
      </c>
      <c r="G51" s="261">
        <f t="shared" si="7"/>
        <v>19197.600000000002</v>
      </c>
      <c r="H51" s="275">
        <f t="shared" si="8"/>
        <v>4.7266324957286276E-2</v>
      </c>
      <c r="I51" s="261"/>
      <c r="O51" s="82">
        <v>1.02</v>
      </c>
      <c r="P51" s="82">
        <f>O51*$Q$4</f>
        <v>48.868199999999995</v>
      </c>
      <c r="Q51" s="2"/>
      <c r="T51" s="92" t="s">
        <v>105</v>
      </c>
      <c r="U51" s="87" t="s">
        <v>706</v>
      </c>
      <c r="W51" s="132">
        <v>42725</v>
      </c>
      <c r="X51" s="10">
        <v>50.68</v>
      </c>
      <c r="Y51" s="10">
        <v>51.15</v>
      </c>
      <c r="Z51" s="10">
        <v>50.45</v>
      </c>
      <c r="AA51" s="10">
        <v>50.92</v>
      </c>
      <c r="AB51" s="94">
        <v>4077700</v>
      </c>
      <c r="AC51" s="10">
        <v>50.72</v>
      </c>
      <c r="AD51" s="2">
        <f t="shared" si="0"/>
        <v>0.69999999999999574</v>
      </c>
      <c r="AE51" s="137">
        <f t="shared" si="1"/>
        <v>3.1645569620253333E-3</v>
      </c>
    </row>
    <row r="52" spans="2:31" x14ac:dyDescent="0.25">
      <c r="B52" s="265">
        <v>42566</v>
      </c>
      <c r="C52" s="260">
        <v>400</v>
      </c>
      <c r="D52" s="261">
        <v>37.874299999999998</v>
      </c>
      <c r="E52" s="261">
        <v>39.979999999999997</v>
      </c>
      <c r="F52" s="261">
        <f t="shared" si="6"/>
        <v>842.27999999999952</v>
      </c>
      <c r="G52" s="261">
        <f t="shared" si="7"/>
        <v>15149.72</v>
      </c>
      <c r="H52" s="275">
        <f t="shared" si="8"/>
        <v>5.559706714051478E-2</v>
      </c>
      <c r="I52" s="261"/>
      <c r="O52" s="82">
        <v>1.01</v>
      </c>
      <c r="P52" s="82">
        <f t="shared" si="5"/>
        <v>48.389099999999999</v>
      </c>
      <c r="Q52" s="2"/>
      <c r="T52" s="92" t="s">
        <v>106</v>
      </c>
      <c r="U52" s="87" t="s">
        <v>345</v>
      </c>
      <c r="W52" s="132">
        <v>42724</v>
      </c>
      <c r="X52" s="10">
        <v>50.43</v>
      </c>
      <c r="Y52" s="10">
        <v>51.15</v>
      </c>
      <c r="Z52" s="10">
        <v>50.42</v>
      </c>
      <c r="AA52" s="10">
        <v>50.76</v>
      </c>
      <c r="AB52" s="94">
        <v>6176300</v>
      </c>
      <c r="AC52" s="10">
        <v>50.56</v>
      </c>
      <c r="AD52" s="2">
        <f t="shared" si="0"/>
        <v>0.72999999999999687</v>
      </c>
      <c r="AE52" s="137">
        <f t="shared" si="1"/>
        <v>6.7702110712863917E-3</v>
      </c>
    </row>
    <row r="53" spans="2:31" x14ac:dyDescent="0.25">
      <c r="B53" s="265">
        <v>42569</v>
      </c>
      <c r="C53" s="260">
        <v>400</v>
      </c>
      <c r="D53" s="261">
        <v>37.874299999999998</v>
      </c>
      <c r="E53" s="261">
        <v>40.1</v>
      </c>
      <c r="F53" s="261">
        <f t="shared" si="6"/>
        <v>890.28000000000134</v>
      </c>
      <c r="G53" s="261">
        <f t="shared" si="7"/>
        <v>15149.72</v>
      </c>
      <c r="H53" s="275">
        <f t="shared" si="8"/>
        <v>5.8765442529631E-2</v>
      </c>
      <c r="I53" s="261"/>
      <c r="O53" s="82">
        <v>1</v>
      </c>
      <c r="P53" s="82">
        <f t="shared" si="5"/>
        <v>47.91</v>
      </c>
      <c r="Q53" s="2"/>
      <c r="T53" s="92" t="s">
        <v>107</v>
      </c>
      <c r="U53" s="89">
        <v>11176970</v>
      </c>
      <c r="W53" s="132">
        <v>42723</v>
      </c>
      <c r="X53" s="10">
        <v>50.22</v>
      </c>
      <c r="Y53" s="10">
        <v>50.74</v>
      </c>
      <c r="Z53" s="10">
        <v>50.19</v>
      </c>
      <c r="AA53" s="10">
        <v>50.42</v>
      </c>
      <c r="AB53" s="94">
        <v>4998300</v>
      </c>
      <c r="AC53" s="10">
        <v>50.22</v>
      </c>
      <c r="AD53" s="2">
        <f t="shared" si="0"/>
        <v>0.55000000000000426</v>
      </c>
      <c r="AE53" s="137">
        <f t="shared" si="1"/>
        <v>5.2041633306645352E-3</v>
      </c>
    </row>
    <row r="54" spans="2:31" x14ac:dyDescent="0.25">
      <c r="B54" s="265">
        <v>42570</v>
      </c>
      <c r="C54" s="260">
        <v>400</v>
      </c>
      <c r="D54" s="261">
        <v>37.874299999999998</v>
      </c>
      <c r="E54" s="261">
        <v>40.53</v>
      </c>
      <c r="F54" s="261">
        <f t="shared" si="6"/>
        <v>1062.2800000000011</v>
      </c>
      <c r="G54" s="261">
        <f t="shared" si="7"/>
        <v>15149.72</v>
      </c>
      <c r="H54" s="275">
        <f t="shared" si="8"/>
        <v>7.0118787673963692E-2</v>
      </c>
      <c r="I54" s="261"/>
      <c r="O54" s="82">
        <v>0.99</v>
      </c>
      <c r="P54" s="82">
        <f t="shared" si="5"/>
        <v>47.430899999999994</v>
      </c>
      <c r="T54" s="92" t="s">
        <v>110</v>
      </c>
      <c r="U54" s="89">
        <v>7725790</v>
      </c>
      <c r="W54" s="132">
        <v>42720</v>
      </c>
      <c r="X54" s="10">
        <v>51.02</v>
      </c>
      <c r="Y54" s="10">
        <v>51.5</v>
      </c>
      <c r="Z54" s="10">
        <v>50.09</v>
      </c>
      <c r="AA54" s="10">
        <v>50.16</v>
      </c>
      <c r="AB54" s="94">
        <v>10039600</v>
      </c>
      <c r="AC54" s="10">
        <v>49.96</v>
      </c>
      <c r="AD54" s="2">
        <f t="shared" si="0"/>
        <v>1.4099999999999966</v>
      </c>
      <c r="AE54" s="137">
        <f t="shared" si="1"/>
        <v>-6.7594433399601472E-3</v>
      </c>
    </row>
    <row r="55" spans="2:31" x14ac:dyDescent="0.25">
      <c r="B55" s="265">
        <v>42571</v>
      </c>
      <c r="C55" s="274">
        <v>300</v>
      </c>
      <c r="D55" s="367">
        <v>36.805999999999997</v>
      </c>
      <c r="E55" s="367">
        <v>40.21</v>
      </c>
      <c r="F55" s="261">
        <f t="shared" si="6"/>
        <v>1021.2000000000011</v>
      </c>
      <c r="G55" s="261">
        <f t="shared" si="7"/>
        <v>11041.8</v>
      </c>
      <c r="H55" s="275">
        <f t="shared" si="8"/>
        <v>9.2484920936803883E-2</v>
      </c>
      <c r="I55" s="261"/>
      <c r="O55" s="82">
        <v>0.98</v>
      </c>
      <c r="P55" s="82">
        <f t="shared" si="5"/>
        <v>46.951799999999999</v>
      </c>
      <c r="T55" s="92" t="s">
        <v>108</v>
      </c>
      <c r="U55" s="87" t="s">
        <v>707</v>
      </c>
      <c r="W55" s="132">
        <v>42719</v>
      </c>
      <c r="X55" s="10">
        <v>50.48</v>
      </c>
      <c r="Y55" s="10">
        <v>51.74</v>
      </c>
      <c r="Z55" s="10">
        <v>50.43</v>
      </c>
      <c r="AA55" s="10">
        <v>50.5</v>
      </c>
      <c r="AB55" s="94">
        <v>10302100</v>
      </c>
      <c r="AC55" s="10">
        <v>50.3</v>
      </c>
      <c r="AD55" s="2">
        <f t="shared" si="0"/>
        <v>1.3100000000000023</v>
      </c>
      <c r="AE55" s="137">
        <f t="shared" si="1"/>
        <v>1.370415155179372E-2</v>
      </c>
    </row>
    <row r="56" spans="2:31" x14ac:dyDescent="0.25">
      <c r="B56" s="265">
        <v>42572</v>
      </c>
      <c r="C56" s="260">
        <v>350</v>
      </c>
      <c r="D56" s="261">
        <v>37.059399999999997</v>
      </c>
      <c r="E56" s="261">
        <v>38.520000000000003</v>
      </c>
      <c r="F56" s="261">
        <f t="shared" si="6"/>
        <v>511.21000000000231</v>
      </c>
      <c r="G56" s="261">
        <f t="shared" si="7"/>
        <v>12970.789999999999</v>
      </c>
      <c r="H56" s="275">
        <f t="shared" si="8"/>
        <v>3.9412402791194859E-2</v>
      </c>
      <c r="I56" s="261"/>
      <c r="O56" s="82">
        <v>0.97</v>
      </c>
      <c r="P56" s="82">
        <f t="shared" si="5"/>
        <v>46.472699999999996</v>
      </c>
      <c r="T56" s="92" t="s">
        <v>111</v>
      </c>
      <c r="U56" s="87">
        <v>8.66</v>
      </c>
      <c r="W56" s="132">
        <v>42718</v>
      </c>
      <c r="X56" s="10">
        <v>49.86</v>
      </c>
      <c r="Y56" s="10">
        <v>50.58</v>
      </c>
      <c r="Z56" s="10">
        <v>49.58</v>
      </c>
      <c r="AA56" s="10">
        <v>49.82</v>
      </c>
      <c r="AB56" s="94">
        <v>9555000</v>
      </c>
      <c r="AC56" s="10">
        <v>49.62</v>
      </c>
      <c r="AD56" s="2">
        <f t="shared" si="0"/>
        <v>1</v>
      </c>
      <c r="AE56" s="137">
        <f t="shared" si="1"/>
        <v>3.2349373230893264E-3</v>
      </c>
    </row>
    <row r="57" spans="2:31" x14ac:dyDescent="0.25">
      <c r="B57" s="265">
        <v>42575</v>
      </c>
      <c r="C57" s="260">
        <v>350</v>
      </c>
      <c r="D57" s="261">
        <v>37.059399999999997</v>
      </c>
      <c r="E57" s="261">
        <v>38.96</v>
      </c>
      <c r="F57" s="261">
        <f t="shared" si="6"/>
        <v>665.21000000000151</v>
      </c>
      <c r="G57" s="261">
        <f t="shared" si="7"/>
        <v>12970.789999999999</v>
      </c>
      <c r="H57" s="275">
        <f t="shared" si="8"/>
        <v>5.1285233975725576E-2</v>
      </c>
      <c r="I57" s="261"/>
      <c r="O57" s="82">
        <v>0.96</v>
      </c>
      <c r="P57" s="82">
        <f t="shared" si="5"/>
        <v>45.993599999999994</v>
      </c>
      <c r="T57" s="92" t="s">
        <v>112</v>
      </c>
      <c r="U57" s="87">
        <v>5.79</v>
      </c>
      <c r="W57" s="132">
        <v>42717</v>
      </c>
      <c r="X57" s="10">
        <v>50.02</v>
      </c>
      <c r="Y57" s="10">
        <v>50.7</v>
      </c>
      <c r="Z57" s="10">
        <v>49.62</v>
      </c>
      <c r="AA57" s="10">
        <v>49.66</v>
      </c>
      <c r="AB57" s="94">
        <v>8855500</v>
      </c>
      <c r="AC57" s="10">
        <v>49.46</v>
      </c>
      <c r="AD57" s="2">
        <f t="shared" si="0"/>
        <v>1.0800000000000054</v>
      </c>
      <c r="AE57" s="137">
        <f t="shared" si="1"/>
        <v>-6.2286517982721445E-3</v>
      </c>
    </row>
    <row r="58" spans="2:31" x14ac:dyDescent="0.25">
      <c r="B58" s="265">
        <v>42577</v>
      </c>
      <c r="C58" s="260">
        <v>350</v>
      </c>
      <c r="D58" s="261">
        <v>37.059399999999997</v>
      </c>
      <c r="E58" s="261">
        <v>39.03</v>
      </c>
      <c r="F58" s="261">
        <f t="shared" si="6"/>
        <v>689.71000000000163</v>
      </c>
      <c r="G58" s="261">
        <f t="shared" si="7"/>
        <v>12970.789999999999</v>
      </c>
      <c r="H58" s="275">
        <f t="shared" si="8"/>
        <v>5.3174093482355481E-2</v>
      </c>
      <c r="I58" s="261"/>
      <c r="O58" s="82">
        <v>0.95</v>
      </c>
      <c r="P58" s="82">
        <f t="shared" si="5"/>
        <v>45.514499999999998</v>
      </c>
      <c r="T58" s="92" t="s">
        <v>109</v>
      </c>
      <c r="U58" s="87" t="s">
        <v>708</v>
      </c>
      <c r="W58" s="132">
        <v>42716</v>
      </c>
      <c r="X58" s="10">
        <v>51.03</v>
      </c>
      <c r="Y58" s="10">
        <v>51.34</v>
      </c>
      <c r="Z58" s="10">
        <v>49.93</v>
      </c>
      <c r="AA58" s="10">
        <v>49.97</v>
      </c>
      <c r="AB58" s="94">
        <v>8648700</v>
      </c>
      <c r="AC58" s="10">
        <v>49.77</v>
      </c>
      <c r="AD58" s="2">
        <f t="shared" si="0"/>
        <v>1.4100000000000037</v>
      </c>
      <c r="AE58" s="137">
        <f t="shared" si="1"/>
        <v>-3.4904013961605584E-2</v>
      </c>
    </row>
    <row r="59" spans="2:31" x14ac:dyDescent="0.25">
      <c r="B59" s="265">
        <v>42580</v>
      </c>
      <c r="C59" s="260">
        <v>300</v>
      </c>
      <c r="D59" s="261">
        <v>36.606099999999998</v>
      </c>
      <c r="E59" s="261">
        <v>39.659999999999997</v>
      </c>
      <c r="F59" s="261">
        <f t="shared" si="6"/>
        <v>916.16999999999962</v>
      </c>
      <c r="G59" s="261">
        <f t="shared" si="7"/>
        <v>10981.83</v>
      </c>
      <c r="H59" s="275">
        <f t="shared" si="8"/>
        <v>8.3425986379319264E-2</v>
      </c>
      <c r="I59" s="261">
        <v>36</v>
      </c>
      <c r="O59" s="82">
        <v>0.94</v>
      </c>
      <c r="P59" s="82">
        <f t="shared" si="5"/>
        <v>45.035399999999996</v>
      </c>
      <c r="W59" s="132">
        <v>42713</v>
      </c>
      <c r="X59" s="10">
        <v>52</v>
      </c>
      <c r="Y59" s="10">
        <v>52.76</v>
      </c>
      <c r="Z59" s="10">
        <v>51.26</v>
      </c>
      <c r="AA59" s="10">
        <v>51.78</v>
      </c>
      <c r="AB59" s="94">
        <v>8526700</v>
      </c>
      <c r="AC59" s="10">
        <v>51.57</v>
      </c>
      <c r="AD59" s="2">
        <f t="shared" si="0"/>
        <v>1.5</v>
      </c>
      <c r="AE59" s="137">
        <f t="shared" si="1"/>
        <v>8.2111436950147443E-3</v>
      </c>
    </row>
    <row r="60" spans="2:31" x14ac:dyDescent="0.25">
      <c r="B60" s="265">
        <v>42580</v>
      </c>
      <c r="C60" s="260">
        <v>350</v>
      </c>
      <c r="D60" s="261">
        <v>36.945300000000003</v>
      </c>
      <c r="E60" s="261">
        <v>38.75</v>
      </c>
      <c r="F60" s="261">
        <f t="shared" si="6"/>
        <v>631.64499999999884</v>
      </c>
      <c r="G60" s="261">
        <f t="shared" si="7"/>
        <v>12930.855000000001</v>
      </c>
      <c r="H60" s="275">
        <f t="shared" si="8"/>
        <v>4.8847891342065075E-2</v>
      </c>
      <c r="I60" s="261"/>
      <c r="O60" s="82">
        <v>0.93</v>
      </c>
      <c r="P60" s="82">
        <f t="shared" si="5"/>
        <v>44.5563</v>
      </c>
      <c r="W60" s="132">
        <v>42712</v>
      </c>
      <c r="X60" s="10">
        <v>51.1</v>
      </c>
      <c r="Y60" s="10">
        <v>51.92</v>
      </c>
      <c r="Z60" s="10">
        <v>50.54</v>
      </c>
      <c r="AA60" s="10">
        <v>51.35</v>
      </c>
      <c r="AB60" s="94">
        <v>9489100</v>
      </c>
      <c r="AC60" s="10">
        <v>51.15</v>
      </c>
      <c r="AD60" s="2">
        <f t="shared" si="0"/>
        <v>1.3800000000000026</v>
      </c>
      <c r="AE60" s="137">
        <f t="shared" si="1"/>
        <v>4.9115913555992652E-3</v>
      </c>
    </row>
    <row r="61" spans="2:31" x14ac:dyDescent="0.25">
      <c r="B61" s="265">
        <v>42584</v>
      </c>
      <c r="C61" s="260">
        <v>400</v>
      </c>
      <c r="D61" s="261">
        <v>37.037100000000002</v>
      </c>
      <c r="E61" s="261">
        <v>36.39</v>
      </c>
      <c r="F61" s="261">
        <f t="shared" si="6"/>
        <v>-258.84000000000071</v>
      </c>
      <c r="G61" s="261">
        <f t="shared" si="7"/>
        <v>14814.84</v>
      </c>
      <c r="H61" s="275">
        <f t="shared" si="8"/>
        <v>-1.747167029816054E-2</v>
      </c>
      <c r="I61" s="261">
        <v>36.5</v>
      </c>
      <c r="O61" s="82">
        <v>0.92</v>
      </c>
      <c r="P61" s="82">
        <f t="shared" si="5"/>
        <v>44.077199999999998</v>
      </c>
      <c r="W61" s="132">
        <v>42711</v>
      </c>
      <c r="X61" s="10">
        <v>49.44</v>
      </c>
      <c r="Y61" s="10">
        <v>51.33</v>
      </c>
      <c r="Z61" s="10">
        <v>49.18</v>
      </c>
      <c r="AA61" s="10">
        <v>51.1</v>
      </c>
      <c r="AB61" s="94">
        <v>10667600</v>
      </c>
      <c r="AC61" s="10">
        <v>50.9</v>
      </c>
      <c r="AD61" s="2">
        <f t="shared" si="0"/>
        <v>2.1499999999999986</v>
      </c>
      <c r="AE61" s="137">
        <f t="shared" si="1"/>
        <v>3.3922405037578818E-2</v>
      </c>
    </row>
    <row r="62" spans="2:31" x14ac:dyDescent="0.25">
      <c r="B62" s="265">
        <v>42597</v>
      </c>
      <c r="C62" s="260">
        <v>400</v>
      </c>
      <c r="D62" s="261">
        <v>37.037100000000002</v>
      </c>
      <c r="E62" s="261">
        <v>36.92</v>
      </c>
      <c r="F62" s="261">
        <f t="shared" si="6"/>
        <v>-46.840000000000259</v>
      </c>
      <c r="G62" s="261">
        <f t="shared" si="7"/>
        <v>14814.84</v>
      </c>
      <c r="H62" s="275">
        <f t="shared" si="8"/>
        <v>-3.1616946251191544E-3</v>
      </c>
      <c r="I62" s="261"/>
      <c r="O62" s="82">
        <v>0.91</v>
      </c>
      <c r="P62" s="82">
        <f t="shared" si="5"/>
        <v>43.598099999999995</v>
      </c>
      <c r="W62" s="132">
        <v>42710</v>
      </c>
      <c r="X62" s="10">
        <v>48.21</v>
      </c>
      <c r="Y62" s="10">
        <v>49.49</v>
      </c>
      <c r="Z62" s="10">
        <v>48.11</v>
      </c>
      <c r="AA62" s="10">
        <v>49.43</v>
      </c>
      <c r="AB62" s="94">
        <v>9142600</v>
      </c>
      <c r="AC62" s="10">
        <v>49.23</v>
      </c>
      <c r="AD62" s="2">
        <f t="shared" si="0"/>
        <v>1.3800000000000026</v>
      </c>
      <c r="AE62" s="137">
        <f t="shared" si="1"/>
        <v>3.3592273777031112E-2</v>
      </c>
    </row>
    <row r="63" spans="2:31" x14ac:dyDescent="0.25">
      <c r="B63" s="265">
        <v>42599</v>
      </c>
      <c r="C63" s="260">
        <v>400</v>
      </c>
      <c r="D63" s="261">
        <v>37.037100000000002</v>
      </c>
      <c r="E63" s="261">
        <v>37.51</v>
      </c>
      <c r="F63" s="261">
        <f t="shared" si="6"/>
        <v>189.15999999999826</v>
      </c>
      <c r="G63" s="261">
        <f t="shared" si="7"/>
        <v>14814.84</v>
      </c>
      <c r="H63" s="275">
        <f t="shared" si="8"/>
        <v>1.2768278293926781E-2</v>
      </c>
      <c r="I63" s="261"/>
      <c r="O63" s="82">
        <v>0.9</v>
      </c>
      <c r="P63" s="82">
        <f t="shared" si="5"/>
        <v>43.119</v>
      </c>
      <c r="W63" s="132">
        <v>42709</v>
      </c>
      <c r="X63" s="10">
        <v>48.51</v>
      </c>
      <c r="Y63" s="10">
        <v>48.81</v>
      </c>
      <c r="Z63" s="10">
        <v>47.59</v>
      </c>
      <c r="AA63" s="10">
        <v>47.82</v>
      </c>
      <c r="AB63" s="94">
        <v>9240200</v>
      </c>
      <c r="AC63" s="10">
        <v>47.63</v>
      </c>
      <c r="AD63" s="2">
        <f t="shared" si="0"/>
        <v>1.2199999999999989</v>
      </c>
      <c r="AE63" s="137">
        <f t="shared" si="1"/>
        <v>-1.018287614297575E-2</v>
      </c>
    </row>
    <row r="64" spans="2:31" x14ac:dyDescent="0.25">
      <c r="B64" s="265">
        <v>42600</v>
      </c>
      <c r="C64" s="260">
        <v>400</v>
      </c>
      <c r="D64" s="261">
        <v>37.037100000000002</v>
      </c>
      <c r="E64" s="261">
        <v>37.07</v>
      </c>
      <c r="F64" s="261">
        <f t="shared" si="6"/>
        <v>13.159999999999172</v>
      </c>
      <c r="G64" s="261">
        <f t="shared" si="7"/>
        <v>14814.84</v>
      </c>
      <c r="H64" s="275">
        <f t="shared" si="8"/>
        <v>8.8829848989251125E-4</v>
      </c>
      <c r="I64" s="261"/>
      <c r="W64" s="132">
        <v>42706</v>
      </c>
      <c r="X64" s="10">
        <v>48.32</v>
      </c>
      <c r="Y64" s="10">
        <v>48.94</v>
      </c>
      <c r="Z64" s="10">
        <v>47.89</v>
      </c>
      <c r="AA64" s="10">
        <v>48.31</v>
      </c>
      <c r="AB64" s="94">
        <v>8869900</v>
      </c>
      <c r="AC64" s="10">
        <v>48.12</v>
      </c>
      <c r="AD64" s="2">
        <f t="shared" si="0"/>
        <v>1.0499999999999972</v>
      </c>
      <c r="AE64" s="137">
        <f t="shared" si="1"/>
        <v>1.134930643127352E-2</v>
      </c>
    </row>
    <row r="65" spans="2:31" x14ac:dyDescent="0.25">
      <c r="B65" s="265">
        <v>42601</v>
      </c>
      <c r="C65" s="260">
        <v>400</v>
      </c>
      <c r="D65" s="261">
        <v>37.037100000000002</v>
      </c>
      <c r="E65" s="261">
        <v>36.770000000000003</v>
      </c>
      <c r="F65" s="261">
        <f t="shared" si="6"/>
        <v>-106.83999999999969</v>
      </c>
      <c r="G65" s="261">
        <f t="shared" si="7"/>
        <v>14814.84</v>
      </c>
      <c r="H65" s="275">
        <f t="shared" si="8"/>
        <v>-7.2116877401308208E-3</v>
      </c>
      <c r="I65" s="261"/>
      <c r="W65" s="132">
        <v>42705</v>
      </c>
      <c r="X65" s="10">
        <v>47.96</v>
      </c>
      <c r="Y65" s="10">
        <v>48.94</v>
      </c>
      <c r="Z65" s="10">
        <v>47.6</v>
      </c>
      <c r="AA65" s="10">
        <v>47.77</v>
      </c>
      <c r="AB65" s="94">
        <v>9802400</v>
      </c>
      <c r="AC65" s="10">
        <v>47.58</v>
      </c>
      <c r="AD65" s="2">
        <f t="shared" si="0"/>
        <v>1.3399999999999963</v>
      </c>
      <c r="AE65" s="137">
        <f t="shared" si="1"/>
        <v>-8.5434465513649638E-3</v>
      </c>
    </row>
    <row r="66" spans="2:31" x14ac:dyDescent="0.25">
      <c r="B66" s="265">
        <v>42604</v>
      </c>
      <c r="C66" s="260">
        <v>400</v>
      </c>
      <c r="D66" s="261">
        <v>37.037100000000002</v>
      </c>
      <c r="E66" s="261">
        <v>36.61</v>
      </c>
      <c r="F66" s="261">
        <f t="shared" si="6"/>
        <v>-170.84000000000117</v>
      </c>
      <c r="G66" s="261">
        <f t="shared" si="7"/>
        <v>14814.84</v>
      </c>
      <c r="H66" s="275">
        <f t="shared" si="8"/>
        <v>-1.1531680396143405E-2</v>
      </c>
      <c r="I66" s="261"/>
      <c r="W66" s="132">
        <v>42704</v>
      </c>
      <c r="X66" s="10">
        <v>47.55</v>
      </c>
      <c r="Y66" s="10">
        <v>48.75</v>
      </c>
      <c r="Z66" s="10">
        <v>46.85</v>
      </c>
      <c r="AA66" s="10">
        <v>48.18</v>
      </c>
      <c r="AB66" s="94">
        <v>9245300</v>
      </c>
      <c r="AC66" s="10">
        <v>47.99</v>
      </c>
      <c r="AD66" s="2">
        <f t="shared" si="0"/>
        <v>1.8999999999999986</v>
      </c>
      <c r="AE66" s="137">
        <f t="shared" si="1"/>
        <v>-8.4710743801652555E-3</v>
      </c>
    </row>
    <row r="67" spans="2:31" x14ac:dyDescent="0.25">
      <c r="B67" s="265">
        <v>42605</v>
      </c>
      <c r="C67" s="260">
        <v>400</v>
      </c>
      <c r="D67" s="261">
        <v>37.037100000000002</v>
      </c>
      <c r="E67" s="261">
        <v>36.69</v>
      </c>
      <c r="F67" s="261">
        <f t="shared" si="6"/>
        <v>-138.84000000000185</v>
      </c>
      <c r="G67" s="261">
        <f t="shared" si="7"/>
        <v>14814.84</v>
      </c>
      <c r="H67" s="275">
        <f t="shared" si="8"/>
        <v>-9.3716840681372093E-3</v>
      </c>
      <c r="I67" s="261"/>
      <c r="W67" s="132">
        <v>42703</v>
      </c>
      <c r="X67" s="10">
        <v>48.53</v>
      </c>
      <c r="Y67" s="10">
        <v>49.05</v>
      </c>
      <c r="Z67" s="10">
        <v>48.23</v>
      </c>
      <c r="AA67" s="10">
        <v>48.59</v>
      </c>
      <c r="AB67" s="94">
        <v>7057000</v>
      </c>
      <c r="AC67" s="10">
        <v>48.4</v>
      </c>
      <c r="AD67" s="2">
        <f>Y67-Z67</f>
        <v>0.82000000000000028</v>
      </c>
      <c r="AE67" s="137" t="e">
        <f>AC67/#REF!-1</f>
        <v>#REF!</v>
      </c>
    </row>
    <row r="68" spans="2:31" x14ac:dyDescent="0.25">
      <c r="B68" s="265">
        <v>42606</v>
      </c>
      <c r="C68" s="260">
        <v>400</v>
      </c>
      <c r="D68" s="261">
        <v>37.037100000000002</v>
      </c>
      <c r="E68" s="261">
        <v>36.770000000000003</v>
      </c>
      <c r="F68" s="261">
        <f t="shared" si="6"/>
        <v>-106.83999999999969</v>
      </c>
      <c r="G68" s="261">
        <f t="shared" si="7"/>
        <v>14814.84</v>
      </c>
      <c r="H68" s="275">
        <f t="shared" si="8"/>
        <v>-7.2116877401308208E-3</v>
      </c>
      <c r="I68" s="261"/>
      <c r="W68" s="132">
        <v>42702</v>
      </c>
      <c r="X68" s="10">
        <v>49.08</v>
      </c>
      <c r="Y68" s="10">
        <v>49.35</v>
      </c>
      <c r="Z68" s="10">
        <v>48.48</v>
      </c>
      <c r="AA68" s="10">
        <v>48.49</v>
      </c>
      <c r="AB68" s="94">
        <v>9227900</v>
      </c>
      <c r="AC68" s="10">
        <v>48.3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42607</v>
      </c>
      <c r="C69" s="260">
        <v>400</v>
      </c>
      <c r="D69" s="261">
        <v>37.037100000000002</v>
      </c>
      <c r="E69" s="261">
        <v>36.47</v>
      </c>
      <c r="F69" s="261">
        <f t="shared" si="6"/>
        <v>-226.8400000000014</v>
      </c>
      <c r="G69" s="261">
        <f t="shared" si="7"/>
        <v>14814.84</v>
      </c>
      <c r="H69" s="275">
        <f t="shared" si="8"/>
        <v>-1.5311673970154344E-2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42611</v>
      </c>
      <c r="C70" s="260">
        <v>400</v>
      </c>
      <c r="D70" s="261">
        <v>37.037100000000002</v>
      </c>
      <c r="E70" s="261">
        <v>36.549999999999997</v>
      </c>
      <c r="F70" s="261">
        <f t="shared" si="6"/>
        <v>-194.84000000000208</v>
      </c>
      <c r="G70" s="261">
        <f t="shared" si="7"/>
        <v>14814.84</v>
      </c>
      <c r="H70" s="275">
        <f t="shared" si="8"/>
        <v>-1.3151677642148148E-2</v>
      </c>
      <c r="I70" s="261"/>
    </row>
    <row r="71" spans="2:31" x14ac:dyDescent="0.25">
      <c r="B71" s="265">
        <v>42612</v>
      </c>
      <c r="C71" s="260">
        <v>400</v>
      </c>
      <c r="D71" s="261">
        <v>37.037100000000002</v>
      </c>
      <c r="E71" s="261">
        <v>37.159999999999997</v>
      </c>
      <c r="F71" s="261">
        <f t="shared" si="6"/>
        <v>49.159999999997694</v>
      </c>
      <c r="G71" s="261">
        <f t="shared" si="7"/>
        <v>14814.84</v>
      </c>
      <c r="H71" s="275">
        <f t="shared" si="8"/>
        <v>3.3182943588994339E-3</v>
      </c>
      <c r="I71" s="261"/>
    </row>
    <row r="72" spans="2:31" x14ac:dyDescent="0.25">
      <c r="B72" s="265">
        <v>42614</v>
      </c>
      <c r="C72" s="260">
        <v>400</v>
      </c>
      <c r="D72" s="261">
        <v>37.037100000000002</v>
      </c>
      <c r="E72" s="261">
        <v>36.82</v>
      </c>
      <c r="F72" s="261">
        <f t="shared" si="6"/>
        <v>-86.840000000000828</v>
      </c>
      <c r="G72" s="261">
        <f t="shared" si="7"/>
        <v>14814.84</v>
      </c>
      <c r="H72" s="275">
        <f t="shared" si="8"/>
        <v>-5.8616900351269961E-3</v>
      </c>
      <c r="I72" s="261"/>
    </row>
    <row r="73" spans="2:31" x14ac:dyDescent="0.25">
      <c r="B73" s="265">
        <v>42615</v>
      </c>
      <c r="C73" s="260">
        <v>400</v>
      </c>
      <c r="D73" s="261">
        <v>37.037100000000002</v>
      </c>
      <c r="E73" s="261">
        <v>37.17</v>
      </c>
      <c r="F73" s="261">
        <f t="shared" si="6"/>
        <v>53.159999999999741</v>
      </c>
      <c r="G73" s="261">
        <f t="shared" si="7"/>
        <v>14814.84</v>
      </c>
      <c r="H73" s="275">
        <f t="shared" si="8"/>
        <v>3.5882938999003524E-3</v>
      </c>
      <c r="I73" s="261"/>
    </row>
    <row r="74" spans="2:31" x14ac:dyDescent="0.25">
      <c r="B74" s="265">
        <v>42615</v>
      </c>
      <c r="C74" s="260">
        <v>400</v>
      </c>
      <c r="D74" s="261">
        <v>36.834600000000002</v>
      </c>
      <c r="E74" s="261">
        <v>37.17</v>
      </c>
      <c r="F74" s="261">
        <f t="shared" si="6"/>
        <v>134.15999999999997</v>
      </c>
      <c r="G74" s="261">
        <f t="shared" si="7"/>
        <v>14733.84</v>
      </c>
      <c r="H74" s="275">
        <f t="shared" si="8"/>
        <v>9.1055692202440079E-3</v>
      </c>
      <c r="I74" s="261" t="s">
        <v>272</v>
      </c>
    </row>
    <row r="75" spans="2:31" x14ac:dyDescent="0.25">
      <c r="B75" s="265">
        <v>42619</v>
      </c>
      <c r="C75" s="260">
        <v>400</v>
      </c>
      <c r="D75" s="261">
        <v>36.834600000000002</v>
      </c>
      <c r="E75" s="261">
        <v>36.82</v>
      </c>
      <c r="F75" s="261">
        <f t="shared" si="6"/>
        <v>-5.8400000000006003</v>
      </c>
      <c r="G75" s="261">
        <f t="shared" si="7"/>
        <v>14733.84</v>
      </c>
      <c r="H75" s="275">
        <f t="shared" si="8"/>
        <v>-3.9636645979599343E-4</v>
      </c>
      <c r="I75" s="261"/>
    </row>
    <row r="76" spans="2:31" x14ac:dyDescent="0.25">
      <c r="B76" s="265">
        <v>42620</v>
      </c>
      <c r="C76" s="260">
        <v>350</v>
      </c>
      <c r="D76" s="261">
        <v>36.642400000000002</v>
      </c>
      <c r="E76" s="261">
        <v>38.9</v>
      </c>
      <c r="F76" s="261">
        <f t="shared" si="6"/>
        <v>790.15999999999872</v>
      </c>
      <c r="G76" s="261">
        <f t="shared" si="7"/>
        <v>12824.84</v>
      </c>
      <c r="H76" s="275">
        <f t="shared" si="8"/>
        <v>6.1611684824138056E-2</v>
      </c>
      <c r="I76" s="261"/>
    </row>
    <row r="77" spans="2:31" x14ac:dyDescent="0.25">
      <c r="B77" s="265">
        <v>42620</v>
      </c>
      <c r="C77" s="260">
        <v>300</v>
      </c>
      <c r="D77" s="261">
        <v>36.269399999999997</v>
      </c>
      <c r="E77" s="261">
        <v>38.9</v>
      </c>
      <c r="F77" s="261">
        <f t="shared" si="6"/>
        <v>789.18000000000029</v>
      </c>
      <c r="G77" s="261">
        <f t="shared" si="7"/>
        <v>10880.82</v>
      </c>
      <c r="H77" s="275">
        <f t="shared" si="8"/>
        <v>7.2529460095838397E-2</v>
      </c>
      <c r="I77" s="261">
        <v>36</v>
      </c>
    </row>
    <row r="78" spans="2:31" x14ac:dyDescent="0.25">
      <c r="B78" s="265">
        <v>42620</v>
      </c>
      <c r="C78" s="260">
        <v>250</v>
      </c>
      <c r="D78" s="261">
        <v>35.705300000000001</v>
      </c>
      <c r="E78" s="261">
        <v>38.9</v>
      </c>
      <c r="F78" s="261">
        <f t="shared" si="6"/>
        <v>798.67499999999939</v>
      </c>
      <c r="G78" s="261">
        <f t="shared" si="7"/>
        <v>8926.3250000000007</v>
      </c>
      <c r="H78" s="275">
        <f t="shared" si="8"/>
        <v>8.9474111686500254E-2</v>
      </c>
      <c r="I78" s="261"/>
    </row>
    <row r="79" spans="2:31" x14ac:dyDescent="0.25">
      <c r="B79" s="265">
        <v>42622</v>
      </c>
      <c r="C79" s="260">
        <v>250</v>
      </c>
      <c r="D79" s="261">
        <v>35.705300000000001</v>
      </c>
      <c r="E79" s="261">
        <v>37.75</v>
      </c>
      <c r="F79" s="261">
        <f t="shared" si="6"/>
        <v>511.17499999999973</v>
      </c>
      <c r="G79" s="261">
        <f t="shared" si="7"/>
        <v>8926.3250000000007</v>
      </c>
      <c r="H79" s="275">
        <f t="shared" si="8"/>
        <v>5.7266008127644881E-2</v>
      </c>
      <c r="I79" s="261"/>
    </row>
    <row r="80" spans="2:31" x14ac:dyDescent="0.25">
      <c r="B80" s="265">
        <v>42625</v>
      </c>
      <c r="C80" s="260">
        <v>250</v>
      </c>
      <c r="D80" s="261">
        <v>35.705300000000001</v>
      </c>
      <c r="E80" s="261">
        <v>38.44</v>
      </c>
      <c r="F80" s="261">
        <f t="shared" si="6"/>
        <v>683.67499999999916</v>
      </c>
      <c r="G80" s="261">
        <f t="shared" si="7"/>
        <v>8926.3250000000007</v>
      </c>
      <c r="H80" s="275">
        <f t="shared" si="8"/>
        <v>7.6590870262958063E-2</v>
      </c>
      <c r="I80" s="261"/>
    </row>
    <row r="81" spans="2:9" x14ac:dyDescent="0.25">
      <c r="B81" s="265">
        <v>42627</v>
      </c>
      <c r="C81" s="260">
        <v>250</v>
      </c>
      <c r="D81" s="261">
        <v>35.705300000000001</v>
      </c>
      <c r="E81" s="261">
        <v>37.119999999999997</v>
      </c>
      <c r="F81" s="261">
        <f t="shared" si="6"/>
        <v>353.67499999999905</v>
      </c>
      <c r="G81" s="261">
        <f t="shared" si="7"/>
        <v>8926.3250000000007</v>
      </c>
      <c r="H81" s="275">
        <f t="shared" si="8"/>
        <v>3.9621568786706633E-2</v>
      </c>
      <c r="I81" s="261"/>
    </row>
    <row r="82" spans="2:9" x14ac:dyDescent="0.25">
      <c r="B82" s="265">
        <v>42629</v>
      </c>
      <c r="C82" s="260">
        <v>250</v>
      </c>
      <c r="D82" s="261">
        <v>35.705300000000001</v>
      </c>
      <c r="E82" s="261">
        <v>36.770000000000003</v>
      </c>
      <c r="F82" s="261">
        <f t="shared" si="6"/>
        <v>266.17500000000052</v>
      </c>
      <c r="G82" s="261">
        <f t="shared" si="7"/>
        <v>8926.3250000000007</v>
      </c>
      <c r="H82" s="275">
        <f t="shared" si="8"/>
        <v>2.9819102486185578E-2</v>
      </c>
      <c r="I82" s="261"/>
    </row>
    <row r="83" spans="2:9" x14ac:dyDescent="0.25">
      <c r="B83" s="265">
        <v>42632</v>
      </c>
      <c r="C83" s="260">
        <v>250</v>
      </c>
      <c r="D83" s="261">
        <v>35.705300000000001</v>
      </c>
      <c r="E83" s="261">
        <v>37.57</v>
      </c>
      <c r="F83" s="261">
        <f t="shared" si="6"/>
        <v>466.17499999999978</v>
      </c>
      <c r="G83" s="261">
        <f t="shared" si="7"/>
        <v>8926.3250000000007</v>
      </c>
      <c r="H83" s="275">
        <f t="shared" si="8"/>
        <v>5.2224739744519695E-2</v>
      </c>
      <c r="I83" s="261"/>
    </row>
    <row r="84" spans="2:9" x14ac:dyDescent="0.25">
      <c r="B84" s="265">
        <v>42633</v>
      </c>
      <c r="C84" s="260">
        <v>250</v>
      </c>
      <c r="D84" s="261">
        <v>35.705300000000001</v>
      </c>
      <c r="E84" s="261">
        <v>38.049999999999997</v>
      </c>
      <c r="F84" s="261">
        <f t="shared" si="6"/>
        <v>586.17499999999905</v>
      </c>
      <c r="G84" s="261">
        <f t="shared" si="7"/>
        <v>8926.3250000000007</v>
      </c>
      <c r="H84" s="275">
        <f t="shared" si="8"/>
        <v>6.5668122099520124E-2</v>
      </c>
      <c r="I84" s="261"/>
    </row>
    <row r="85" spans="2:9" x14ac:dyDescent="0.25">
      <c r="B85" s="265">
        <v>42635</v>
      </c>
      <c r="C85" s="260">
        <v>250</v>
      </c>
      <c r="D85" s="261">
        <v>35.705300000000001</v>
      </c>
      <c r="E85" s="261">
        <v>38.5</v>
      </c>
      <c r="F85" s="261">
        <f t="shared" si="6"/>
        <v>698.67499999999973</v>
      </c>
      <c r="G85" s="261">
        <f t="shared" si="7"/>
        <v>8926.3250000000007</v>
      </c>
      <c r="H85" s="275">
        <f t="shared" si="8"/>
        <v>7.8271293057333186E-2</v>
      </c>
      <c r="I85" s="261"/>
    </row>
    <row r="86" spans="2:9" x14ac:dyDescent="0.25">
      <c r="B86" s="265">
        <v>42636</v>
      </c>
      <c r="C86" s="260">
        <v>250</v>
      </c>
      <c r="D86" s="261">
        <v>35.705300000000001</v>
      </c>
      <c r="E86" s="261">
        <v>38.78</v>
      </c>
      <c r="F86" s="261">
        <f t="shared" si="6"/>
        <v>768.67499999999995</v>
      </c>
      <c r="G86" s="261">
        <f t="shared" si="7"/>
        <v>8926.3250000000007</v>
      </c>
      <c r="H86" s="275">
        <f t="shared" si="8"/>
        <v>8.6113266097750191E-2</v>
      </c>
      <c r="I86" s="261"/>
    </row>
    <row r="87" spans="2:9" x14ac:dyDescent="0.25">
      <c r="B87" s="265">
        <v>42639</v>
      </c>
      <c r="C87" s="260">
        <v>250</v>
      </c>
      <c r="D87" s="261">
        <v>35.705300000000001</v>
      </c>
      <c r="E87" s="261">
        <v>38.04</v>
      </c>
      <c r="F87" s="261">
        <f t="shared" si="6"/>
        <v>583.6749999999995</v>
      </c>
      <c r="G87" s="261">
        <f t="shared" si="7"/>
        <v>8926.3250000000007</v>
      </c>
      <c r="H87" s="275">
        <f t="shared" si="8"/>
        <v>6.5388051633791008E-2</v>
      </c>
      <c r="I87" s="261"/>
    </row>
    <row r="88" spans="2:9" x14ac:dyDescent="0.25">
      <c r="B88" s="265">
        <v>42640</v>
      </c>
      <c r="C88" s="260">
        <v>250</v>
      </c>
      <c r="D88" s="261">
        <v>35.705300000000001</v>
      </c>
      <c r="E88" s="261">
        <v>39.21</v>
      </c>
      <c r="F88" s="261">
        <f t="shared" si="6"/>
        <v>876.17499999999995</v>
      </c>
      <c r="G88" s="261">
        <f t="shared" si="7"/>
        <v>8926.3250000000007</v>
      </c>
      <c r="H88" s="275">
        <f t="shared" si="8"/>
        <v>9.8156296124104814E-2</v>
      </c>
      <c r="I88" s="261"/>
    </row>
    <row r="89" spans="2:9" x14ac:dyDescent="0.25">
      <c r="B89" s="265">
        <v>42641</v>
      </c>
      <c r="C89" s="260">
        <v>0</v>
      </c>
      <c r="D89" s="261"/>
      <c r="E89" s="261"/>
      <c r="F89" s="261">
        <v>993.45</v>
      </c>
      <c r="G89" s="261"/>
      <c r="H89" s="275"/>
      <c r="I89" s="261"/>
    </row>
    <row r="90" spans="2:9" x14ac:dyDescent="0.25">
      <c r="B90" s="192"/>
      <c r="C90" s="10"/>
      <c r="D90" s="40"/>
      <c r="E90" s="40"/>
      <c r="F90" s="40"/>
      <c r="G90" s="40"/>
      <c r="H90" s="230"/>
      <c r="I90" s="40"/>
    </row>
    <row r="91" spans="2:9" x14ac:dyDescent="0.25">
      <c r="B91" s="192"/>
      <c r="C91" s="10"/>
      <c r="D91" s="40"/>
      <c r="E91" s="40"/>
      <c r="F91" s="40"/>
      <c r="G91" s="40"/>
      <c r="H91" s="230"/>
      <c r="I91" s="40"/>
    </row>
    <row r="92" spans="2:9" x14ac:dyDescent="0.25">
      <c r="B92" s="530"/>
      <c r="C92" s="190"/>
      <c r="D92" s="191"/>
      <c r="E92" s="191"/>
      <c r="F92" s="191"/>
      <c r="G92" s="191"/>
      <c r="H92" s="531"/>
      <c r="I92" s="191"/>
    </row>
    <row r="93" spans="2:9" x14ac:dyDescent="0.25">
      <c r="B93" s="192"/>
      <c r="C93" s="10"/>
      <c r="D93" s="40"/>
      <c r="E93" s="40"/>
      <c r="F93" s="40"/>
      <c r="G93" s="40"/>
      <c r="H93" s="230"/>
      <c r="I93" s="40"/>
    </row>
    <row r="94" spans="2:9" x14ac:dyDescent="0.25">
      <c r="B94" s="192"/>
      <c r="C94" s="10"/>
      <c r="D94" s="40"/>
      <c r="E94" s="40"/>
      <c r="F94" s="40"/>
      <c r="G94" s="40"/>
      <c r="H94" s="230"/>
      <c r="I94" s="40"/>
    </row>
    <row r="95" spans="2:9" x14ac:dyDescent="0.25">
      <c r="B95" s="192"/>
      <c r="C95" s="10"/>
      <c r="D95" s="40"/>
      <c r="E95" s="40"/>
      <c r="F95" s="40"/>
      <c r="G95" s="40"/>
      <c r="H95" s="230"/>
      <c r="I95" s="40"/>
    </row>
    <row r="96" spans="2:9" x14ac:dyDescent="0.25">
      <c r="B96" s="192"/>
      <c r="C96" s="10"/>
      <c r="D96" s="40"/>
      <c r="E96" s="40"/>
      <c r="F96" s="40"/>
      <c r="G96" s="40"/>
      <c r="H96" s="230"/>
      <c r="I96" s="40"/>
    </row>
    <row r="97" spans="1:13" x14ac:dyDescent="0.25">
      <c r="B97" s="192"/>
      <c r="C97" s="10"/>
      <c r="D97" s="40"/>
      <c r="E97" s="40"/>
      <c r="F97" s="40"/>
      <c r="G97" s="40"/>
      <c r="H97" s="230"/>
      <c r="I97" s="40"/>
    </row>
    <row r="98" spans="1:13" x14ac:dyDescent="0.25">
      <c r="B98" s="192"/>
      <c r="C98" s="10"/>
      <c r="D98" s="40"/>
      <c r="E98" s="40"/>
      <c r="F98" s="40"/>
      <c r="G98" s="40"/>
      <c r="H98" s="230"/>
      <c r="I98" s="40"/>
    </row>
    <row r="99" spans="1:13" x14ac:dyDescent="0.25">
      <c r="B99" s="192"/>
      <c r="C99" s="10"/>
      <c r="D99" s="40"/>
      <c r="E99" s="40"/>
      <c r="F99" s="40"/>
      <c r="G99" s="40"/>
      <c r="H99" s="230"/>
      <c r="I99" s="40"/>
    </row>
    <row r="100" spans="1:13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13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13" x14ac:dyDescent="0.25">
      <c r="B102" s="192"/>
      <c r="C102" s="10"/>
      <c r="D102" s="40"/>
      <c r="E102" s="40"/>
      <c r="F102" s="40"/>
      <c r="G102" s="40"/>
      <c r="H102" s="230"/>
      <c r="I102" s="40"/>
    </row>
    <row r="104" spans="1:13" x14ac:dyDescent="0.25">
      <c r="L104" t="s">
        <v>212</v>
      </c>
      <c r="M104" s="451">
        <f>M122+K122-F122</f>
        <v>205.01999999999998</v>
      </c>
    </row>
    <row r="105" spans="1:13" x14ac:dyDescent="0.25">
      <c r="A105" s="262" t="s">
        <v>1</v>
      </c>
      <c r="B105" s="262" t="s">
        <v>2</v>
      </c>
      <c r="C105" s="262" t="s">
        <v>4</v>
      </c>
      <c r="D105" s="263" t="s">
        <v>5</v>
      </c>
      <c r="E105" s="263" t="s">
        <v>94</v>
      </c>
      <c r="F105" s="263" t="s">
        <v>60</v>
      </c>
      <c r="G105" s="262" t="s">
        <v>3</v>
      </c>
      <c r="H105" s="262" t="s">
        <v>6</v>
      </c>
      <c r="I105" s="263" t="s">
        <v>7</v>
      </c>
      <c r="J105" s="263" t="s">
        <v>95</v>
      </c>
      <c r="K105" s="263" t="s">
        <v>61</v>
      </c>
      <c r="L105" s="262" t="s">
        <v>37</v>
      </c>
      <c r="M105" s="262" t="s">
        <v>38</v>
      </c>
    </row>
    <row r="106" spans="1:13" x14ac:dyDescent="0.25">
      <c r="A106" s="264" t="s">
        <v>32</v>
      </c>
      <c r="B106" s="265">
        <v>42405</v>
      </c>
      <c r="C106" s="260">
        <v>30</v>
      </c>
      <c r="D106" s="261">
        <v>41.95</v>
      </c>
      <c r="E106" s="261">
        <v>0</v>
      </c>
      <c r="F106" s="261">
        <f>D106*C106+E106</f>
        <v>1258.5</v>
      </c>
      <c r="G106" s="265">
        <v>42445</v>
      </c>
      <c r="H106" s="266">
        <v>30</v>
      </c>
      <c r="I106" s="261">
        <v>48.65</v>
      </c>
      <c r="J106" s="261">
        <v>0.03</v>
      </c>
      <c r="K106" s="261">
        <f>H106*I106-J106</f>
        <v>1459.47</v>
      </c>
      <c r="L106" s="265">
        <v>42438</v>
      </c>
      <c r="M106" s="260">
        <v>4.05</v>
      </c>
    </row>
    <row r="107" spans="1:13" x14ac:dyDescent="0.25">
      <c r="A107" s="267" t="s">
        <v>71</v>
      </c>
      <c r="B107" s="265"/>
      <c r="C107" s="260"/>
      <c r="D107" s="261"/>
      <c r="E107" s="261"/>
      <c r="F107" s="261"/>
      <c r="G107" s="265"/>
      <c r="H107" s="266"/>
      <c r="I107" s="261"/>
      <c r="J107" s="261"/>
      <c r="K107" s="261"/>
      <c r="L107" s="265"/>
      <c r="M107" s="261"/>
    </row>
    <row r="108" spans="1:13" x14ac:dyDescent="0.25">
      <c r="A108" s="260"/>
      <c r="B108" s="265"/>
      <c r="C108" s="260"/>
      <c r="D108" s="261"/>
      <c r="E108" s="261"/>
      <c r="F108" s="261"/>
      <c r="G108" s="265"/>
      <c r="H108" s="266"/>
      <c r="I108" s="261"/>
      <c r="J108" s="261"/>
      <c r="K108" s="261"/>
      <c r="L108" s="260"/>
      <c r="M108" s="260"/>
    </row>
    <row r="109" spans="1:13" x14ac:dyDescent="0.25">
      <c r="A109" s="260"/>
      <c r="B109" s="265"/>
      <c r="C109" s="260"/>
      <c r="D109" s="261"/>
      <c r="E109" s="261"/>
      <c r="F109" s="261"/>
      <c r="G109" s="265"/>
      <c r="H109" s="266"/>
      <c r="I109" s="261"/>
      <c r="J109" s="261"/>
      <c r="K109" s="261"/>
      <c r="L109" s="260"/>
      <c r="M109" s="260"/>
    </row>
    <row r="110" spans="1:13" x14ac:dyDescent="0.25">
      <c r="A110" s="260"/>
      <c r="B110" s="265"/>
      <c r="C110" s="260"/>
      <c r="D110" s="261"/>
      <c r="E110" s="261"/>
      <c r="F110" s="261"/>
      <c r="G110" s="260"/>
      <c r="H110" s="266"/>
      <c r="I110" s="261"/>
      <c r="J110" s="261"/>
      <c r="K110" s="261"/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0"/>
      <c r="H111" s="266"/>
      <c r="I111" s="261"/>
      <c r="J111" s="261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0"/>
      <c r="H112" s="266"/>
      <c r="I112" s="261"/>
      <c r="J112" s="261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0"/>
      <c r="H113" s="266"/>
      <c r="I113" s="261"/>
      <c r="J113" s="261"/>
      <c r="K113" s="261"/>
      <c r="L113" s="260"/>
      <c r="M113" s="260"/>
    </row>
    <row r="114" spans="1:13" x14ac:dyDescent="0.25">
      <c r="A114" s="260"/>
      <c r="B114" s="260"/>
      <c r="C114" s="260"/>
      <c r="D114" s="261"/>
      <c r="E114" s="261"/>
      <c r="F114" s="261"/>
      <c r="G114" s="260"/>
      <c r="H114" s="260"/>
      <c r="I114" s="261"/>
      <c r="J114" s="261"/>
      <c r="K114" s="261"/>
      <c r="L114" s="260"/>
      <c r="M114" s="260"/>
    </row>
    <row r="115" spans="1:13" x14ac:dyDescent="0.25">
      <c r="A115" s="260"/>
      <c r="B115" s="260"/>
      <c r="C115" s="260"/>
      <c r="D115" s="261"/>
      <c r="E115" s="261"/>
      <c r="F115" s="261"/>
      <c r="G115" s="260"/>
      <c r="H115" s="260"/>
      <c r="I115" s="261"/>
      <c r="J115" s="261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0"/>
      <c r="H117" s="260"/>
      <c r="I117" s="261"/>
      <c r="J117" s="261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0"/>
      <c r="H118" s="260"/>
      <c r="I118" s="261"/>
      <c r="J118" s="261"/>
      <c r="K118" s="261"/>
      <c r="L118" s="260"/>
      <c r="M118" s="260"/>
    </row>
    <row r="119" spans="1:13" x14ac:dyDescent="0.25">
      <c r="A119" s="260"/>
      <c r="B119" s="260"/>
      <c r="C119" s="260"/>
      <c r="D119" s="261"/>
      <c r="E119" s="261"/>
      <c r="F119" s="261"/>
      <c r="G119" s="260"/>
      <c r="H119" s="260"/>
      <c r="I119" s="261"/>
      <c r="J119" s="261"/>
      <c r="K119" s="261"/>
      <c r="L119" s="260"/>
      <c r="M119" s="260"/>
    </row>
    <row r="120" spans="1:13" x14ac:dyDescent="0.25">
      <c r="A120" s="260"/>
      <c r="B120" s="260"/>
      <c r="C120" s="260"/>
      <c r="D120" s="261"/>
      <c r="E120" s="261"/>
      <c r="F120" s="261"/>
      <c r="G120" s="260"/>
      <c r="H120" s="260"/>
      <c r="I120" s="261"/>
      <c r="J120" s="261"/>
      <c r="K120" s="261"/>
      <c r="L120" s="260"/>
      <c r="M120" s="260"/>
    </row>
    <row r="121" spans="1:13" x14ac:dyDescent="0.25">
      <c r="A121" s="260"/>
      <c r="B121" s="260"/>
      <c r="C121" s="260"/>
      <c r="D121" s="261"/>
      <c r="E121" s="261"/>
      <c r="F121" s="261"/>
      <c r="G121" s="260"/>
      <c r="H121" s="266"/>
      <c r="I121" s="261"/>
      <c r="J121" s="261"/>
      <c r="K121" s="261"/>
      <c r="L121" s="260"/>
      <c r="M121" s="260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1">
        <f>M155+K155-F155</f>
        <v>993.44999999999709</v>
      </c>
    </row>
    <row r="127" spans="1:13" x14ac:dyDescent="0.25">
      <c r="A127" s="262" t="s">
        <v>1</v>
      </c>
      <c r="B127" s="262" t="s">
        <v>2</v>
      </c>
      <c r="C127" s="262" t="s">
        <v>4</v>
      </c>
      <c r="D127" s="263" t="s">
        <v>5</v>
      </c>
      <c r="E127" s="263" t="s">
        <v>94</v>
      </c>
      <c r="F127" s="263" t="s">
        <v>60</v>
      </c>
      <c r="G127" s="262" t="s">
        <v>3</v>
      </c>
      <c r="H127" s="262" t="s">
        <v>6</v>
      </c>
      <c r="I127" s="263" t="s">
        <v>7</v>
      </c>
      <c r="J127" s="263" t="s">
        <v>95</v>
      </c>
      <c r="K127" s="263" t="s">
        <v>61</v>
      </c>
      <c r="L127" s="262" t="s">
        <v>37</v>
      </c>
      <c r="M127" s="262" t="s">
        <v>38</v>
      </c>
    </row>
    <row r="128" spans="1:13" x14ac:dyDescent="0.25">
      <c r="A128" s="264" t="s">
        <v>32</v>
      </c>
      <c r="B128" s="265">
        <v>42467</v>
      </c>
      <c r="C128" s="260">
        <v>50</v>
      </c>
      <c r="D128" s="261">
        <v>45.5</v>
      </c>
      <c r="E128" s="261">
        <v>0</v>
      </c>
      <c r="F128" s="261">
        <f t="shared" ref="F128:F139" si="9">D128*C128+E128</f>
        <v>2275</v>
      </c>
      <c r="G128" s="260"/>
      <c r="H128" s="260"/>
      <c r="I128" s="261"/>
      <c r="J128" s="261"/>
      <c r="K128" s="261"/>
      <c r="L128" s="265">
        <v>42522</v>
      </c>
      <c r="M128" s="261">
        <v>33.75</v>
      </c>
    </row>
    <row r="129" spans="1:13" x14ac:dyDescent="0.25">
      <c r="A129" s="267" t="s">
        <v>71</v>
      </c>
      <c r="B129" s="265">
        <v>42482</v>
      </c>
      <c r="C129" s="260">
        <v>50</v>
      </c>
      <c r="D129" s="261">
        <v>43.65</v>
      </c>
      <c r="E129" s="261">
        <v>0</v>
      </c>
      <c r="F129" s="261">
        <f t="shared" si="9"/>
        <v>2182.5</v>
      </c>
      <c r="G129" s="265">
        <v>42507</v>
      </c>
      <c r="H129" s="266">
        <v>100</v>
      </c>
      <c r="I129" s="261">
        <v>43.59</v>
      </c>
      <c r="J129" s="261">
        <v>0.1</v>
      </c>
      <c r="K129" s="261">
        <f>H129*I129-J129</f>
        <v>4358.8999999999996</v>
      </c>
      <c r="L129" s="265">
        <v>42615</v>
      </c>
      <c r="M129" s="261">
        <v>81</v>
      </c>
    </row>
    <row r="130" spans="1:13" x14ac:dyDescent="0.25">
      <c r="A130" s="260"/>
      <c r="B130" s="265">
        <v>42486</v>
      </c>
      <c r="C130" s="260">
        <v>50</v>
      </c>
      <c r="D130" s="261">
        <v>43.25</v>
      </c>
      <c r="E130" s="261">
        <v>0</v>
      </c>
      <c r="F130" s="261">
        <f t="shared" si="9"/>
        <v>2162.5</v>
      </c>
      <c r="G130" s="265">
        <v>42509</v>
      </c>
      <c r="H130" s="266">
        <v>50</v>
      </c>
      <c r="I130" s="261">
        <v>43.12</v>
      </c>
      <c r="J130" s="261">
        <v>0.05</v>
      </c>
      <c r="K130" s="261">
        <f>H130*I130-J130</f>
        <v>2155.9499999999998</v>
      </c>
      <c r="L130" s="260"/>
      <c r="M130" s="260"/>
    </row>
    <row r="131" spans="1:13" x14ac:dyDescent="0.25">
      <c r="A131" s="260"/>
      <c r="B131" s="265">
        <v>42489</v>
      </c>
      <c r="C131" s="260">
        <v>50</v>
      </c>
      <c r="D131" s="261">
        <v>41.95</v>
      </c>
      <c r="E131" s="261">
        <v>0</v>
      </c>
      <c r="F131" s="261">
        <f t="shared" si="9"/>
        <v>2097.5</v>
      </c>
      <c r="G131" s="265">
        <v>42515</v>
      </c>
      <c r="H131" s="266">
        <v>50</v>
      </c>
      <c r="I131" s="261">
        <v>43.96</v>
      </c>
      <c r="J131" s="261">
        <v>0.05</v>
      </c>
      <c r="K131" s="261">
        <f>H131*I131-J131</f>
        <v>2197.9499999999998</v>
      </c>
      <c r="L131" s="260"/>
      <c r="M131" s="260"/>
    </row>
    <row r="132" spans="1:13" x14ac:dyDescent="0.25">
      <c r="A132" s="260"/>
      <c r="B132" s="265">
        <v>42489</v>
      </c>
      <c r="C132" s="260">
        <v>50</v>
      </c>
      <c r="D132" s="261">
        <v>41.39</v>
      </c>
      <c r="E132" s="261">
        <v>0</v>
      </c>
      <c r="F132" s="261">
        <f t="shared" si="9"/>
        <v>2069.5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42509</v>
      </c>
      <c r="C133" s="260">
        <v>50</v>
      </c>
      <c r="D133" s="261">
        <v>42.59</v>
      </c>
      <c r="E133" s="261">
        <v>0</v>
      </c>
      <c r="F133" s="261">
        <f t="shared" si="9"/>
        <v>2129.5</v>
      </c>
      <c r="G133" s="265">
        <v>42545</v>
      </c>
      <c r="H133" s="266">
        <v>100</v>
      </c>
      <c r="I133" s="261">
        <v>37.01</v>
      </c>
      <c r="J133" s="261">
        <v>0.57999999999999996</v>
      </c>
      <c r="K133" s="261">
        <f>H133*I133-J133</f>
        <v>3700.42</v>
      </c>
      <c r="L133" s="260"/>
      <c r="M133" s="260"/>
    </row>
    <row r="134" spans="1:13" x14ac:dyDescent="0.25">
      <c r="A134" s="260"/>
      <c r="B134" s="265">
        <v>42509</v>
      </c>
      <c r="C134" s="260">
        <v>50</v>
      </c>
      <c r="D134" s="261">
        <v>42.59</v>
      </c>
      <c r="E134" s="261">
        <v>0</v>
      </c>
      <c r="F134" s="261">
        <f t="shared" si="9"/>
        <v>2129.5</v>
      </c>
      <c r="G134" s="265">
        <v>42563</v>
      </c>
      <c r="H134" s="266">
        <v>100</v>
      </c>
      <c r="I134" s="261">
        <v>39.340000000000003</v>
      </c>
      <c r="J134" s="261">
        <v>0.09</v>
      </c>
      <c r="K134" s="261">
        <f>H134*I134-J134</f>
        <v>3933.9100000000003</v>
      </c>
      <c r="L134" s="260"/>
      <c r="M134" s="260"/>
    </row>
    <row r="135" spans="1:13" x14ac:dyDescent="0.25">
      <c r="A135" s="260"/>
      <c r="B135" s="265">
        <v>42515</v>
      </c>
      <c r="C135" s="260">
        <v>50</v>
      </c>
      <c r="D135" s="261">
        <v>43.45</v>
      </c>
      <c r="E135" s="261">
        <v>0</v>
      </c>
      <c r="F135" s="261">
        <f t="shared" si="9"/>
        <v>2172.5</v>
      </c>
      <c r="G135" s="528"/>
      <c r="H135" s="260"/>
      <c r="I135" s="261"/>
      <c r="J135" s="261"/>
      <c r="K135" s="261"/>
      <c r="L135" s="260"/>
      <c r="M135" s="260"/>
    </row>
    <row r="136" spans="1:13" x14ac:dyDescent="0.25">
      <c r="A136" s="260"/>
      <c r="B136" s="265">
        <v>42535</v>
      </c>
      <c r="C136" s="260">
        <v>100</v>
      </c>
      <c r="D136" s="261">
        <v>39.85</v>
      </c>
      <c r="E136" s="261">
        <v>0</v>
      </c>
      <c r="F136" s="261">
        <f t="shared" si="9"/>
        <v>3985</v>
      </c>
      <c r="G136" s="265">
        <v>42566</v>
      </c>
      <c r="H136" s="408">
        <v>100</v>
      </c>
      <c r="I136" s="367">
        <v>40.479999999999997</v>
      </c>
      <c r="J136" s="367">
        <v>0.09</v>
      </c>
      <c r="K136" s="367">
        <f t="shared" ref="K136:K142" si="10">H136*I136-J136</f>
        <v>4047.9099999999994</v>
      </c>
      <c r="L136" s="260"/>
      <c r="M136" s="260"/>
    </row>
    <row r="137" spans="1:13" x14ac:dyDescent="0.25">
      <c r="A137" s="260"/>
      <c r="B137" s="265">
        <v>42537</v>
      </c>
      <c r="C137" s="260">
        <v>100</v>
      </c>
      <c r="D137" s="261">
        <v>37.85</v>
      </c>
      <c r="E137" s="261">
        <v>0</v>
      </c>
      <c r="F137" s="261">
        <f t="shared" si="9"/>
        <v>3785</v>
      </c>
      <c r="G137" s="265">
        <v>42571</v>
      </c>
      <c r="H137" s="266">
        <v>100</v>
      </c>
      <c r="I137" s="261">
        <v>41.08</v>
      </c>
      <c r="J137" s="261">
        <v>0.09</v>
      </c>
      <c r="K137" s="367">
        <f t="shared" si="10"/>
        <v>4107.91</v>
      </c>
      <c r="L137" s="260"/>
      <c r="M137" s="260"/>
    </row>
    <row r="138" spans="1:13" x14ac:dyDescent="0.25">
      <c r="A138" s="260"/>
      <c r="B138" s="265">
        <v>42545</v>
      </c>
      <c r="C138" s="260">
        <v>50</v>
      </c>
      <c r="D138" s="261">
        <v>36.01</v>
      </c>
      <c r="E138" s="261">
        <v>0</v>
      </c>
      <c r="F138" s="261">
        <f t="shared" si="9"/>
        <v>1800.5</v>
      </c>
      <c r="G138" s="265">
        <v>42580</v>
      </c>
      <c r="H138" s="266">
        <v>50</v>
      </c>
      <c r="I138" s="261">
        <v>39.78</v>
      </c>
      <c r="J138" s="261">
        <v>0.04</v>
      </c>
      <c r="K138" s="261">
        <f t="shared" si="10"/>
        <v>1988.96</v>
      </c>
      <c r="L138" s="260"/>
      <c r="M138" s="260"/>
    </row>
    <row r="139" spans="1:13" x14ac:dyDescent="0.25">
      <c r="A139" s="260"/>
      <c r="B139" s="265">
        <v>42545</v>
      </c>
      <c r="C139" s="260">
        <v>50</v>
      </c>
      <c r="D139" s="261">
        <v>36.01</v>
      </c>
      <c r="E139" s="261">
        <v>0</v>
      </c>
      <c r="F139" s="261">
        <f t="shared" si="9"/>
        <v>1800.5</v>
      </c>
      <c r="G139" s="265">
        <v>42620</v>
      </c>
      <c r="H139" s="266">
        <v>50</v>
      </c>
      <c r="I139" s="261">
        <v>38.18</v>
      </c>
      <c r="J139" s="261">
        <v>0.04</v>
      </c>
      <c r="K139" s="261">
        <f t="shared" si="10"/>
        <v>1908.96</v>
      </c>
      <c r="L139" s="260"/>
      <c r="M139" s="260"/>
    </row>
    <row r="140" spans="1:13" x14ac:dyDescent="0.25">
      <c r="A140" s="260"/>
      <c r="B140" s="265">
        <v>42545</v>
      </c>
      <c r="C140" s="260">
        <v>100</v>
      </c>
      <c r="D140" s="261">
        <v>36.01</v>
      </c>
      <c r="E140" s="261">
        <v>0</v>
      </c>
      <c r="F140" s="261">
        <f>D140*C140+E140</f>
        <v>3601</v>
      </c>
      <c r="G140" s="265">
        <v>42620</v>
      </c>
      <c r="H140" s="266">
        <v>50</v>
      </c>
      <c r="I140" s="261">
        <v>38.880000000000003</v>
      </c>
      <c r="J140" s="261">
        <v>0.04</v>
      </c>
      <c r="K140" s="261">
        <f t="shared" si="10"/>
        <v>1943.9600000000003</v>
      </c>
      <c r="L140" s="260"/>
      <c r="M140" s="260"/>
    </row>
    <row r="141" spans="1:13" x14ac:dyDescent="0.25">
      <c r="A141" s="260"/>
      <c r="B141" s="265">
        <v>42548</v>
      </c>
      <c r="C141" s="260">
        <v>100</v>
      </c>
      <c r="D141" s="261">
        <v>33.880000000000003</v>
      </c>
      <c r="E141" s="261">
        <v>0</v>
      </c>
      <c r="F141" s="261">
        <f>D141*C141+E141</f>
        <v>3388.0000000000005</v>
      </c>
      <c r="G141" s="265">
        <v>42620</v>
      </c>
      <c r="H141" s="266">
        <v>50</v>
      </c>
      <c r="I141" s="261">
        <v>39.090000000000003</v>
      </c>
      <c r="J141" s="261">
        <v>-0.09</v>
      </c>
      <c r="K141" s="261">
        <f t="shared" si="10"/>
        <v>1954.5900000000001</v>
      </c>
      <c r="L141" s="260"/>
      <c r="M141" s="260"/>
    </row>
    <row r="142" spans="1:13" x14ac:dyDescent="0.25">
      <c r="A142" s="260"/>
      <c r="B142" s="265">
        <v>42572</v>
      </c>
      <c r="C142" s="260">
        <v>50</v>
      </c>
      <c r="D142" s="261">
        <v>38.58</v>
      </c>
      <c r="E142" s="261">
        <v>0</v>
      </c>
      <c r="F142" s="261">
        <f>D142*C142+E142</f>
        <v>1929</v>
      </c>
      <c r="G142" s="265">
        <v>42641</v>
      </c>
      <c r="H142" s="266">
        <v>250</v>
      </c>
      <c r="I142" s="261">
        <v>39.68</v>
      </c>
      <c r="J142" s="261">
        <v>0.22</v>
      </c>
      <c r="K142" s="261">
        <f t="shared" si="10"/>
        <v>9919.7800000000007</v>
      </c>
      <c r="L142" s="260"/>
      <c r="M142" s="260"/>
    </row>
    <row r="143" spans="1:13" x14ac:dyDescent="0.25">
      <c r="A143" s="260"/>
      <c r="B143" s="265">
        <v>42580</v>
      </c>
      <c r="C143" s="260">
        <v>50</v>
      </c>
      <c r="D143" s="261">
        <v>38.979999999999997</v>
      </c>
      <c r="E143" s="261">
        <v>0</v>
      </c>
      <c r="F143" s="261">
        <f>D143*C143+E143</f>
        <v>1948.9999999999998</v>
      </c>
      <c r="G143" s="260"/>
      <c r="H143" s="260"/>
      <c r="I143" s="261"/>
      <c r="J143" s="261"/>
      <c r="K143" s="261"/>
      <c r="L143" s="260"/>
      <c r="M143" s="260"/>
    </row>
    <row r="144" spans="1:13" x14ac:dyDescent="0.25">
      <c r="A144" s="260"/>
      <c r="B144" s="265">
        <v>42584</v>
      </c>
      <c r="C144" s="260">
        <v>50</v>
      </c>
      <c r="D144" s="261">
        <v>37.68</v>
      </c>
      <c r="E144" s="261">
        <v>0</v>
      </c>
      <c r="F144" s="261">
        <f>D144*C144+E144</f>
        <v>1884</v>
      </c>
      <c r="G144" s="260"/>
      <c r="H144" s="260"/>
      <c r="I144" s="261"/>
      <c r="J144" s="261"/>
      <c r="K144" s="261"/>
      <c r="L144" s="260"/>
      <c r="M144" s="260"/>
    </row>
    <row r="145" spans="1:13" x14ac:dyDescent="0.25">
      <c r="A145" s="260"/>
      <c r="B145" s="260"/>
      <c r="C145" s="260"/>
      <c r="D145" s="261"/>
      <c r="E145" s="261"/>
      <c r="F145" s="261"/>
      <c r="G145" s="260"/>
      <c r="H145" s="260"/>
      <c r="I145" s="261"/>
      <c r="J145" s="261"/>
      <c r="K145" s="261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0"/>
      <c r="I146" s="261"/>
      <c r="J146" s="261"/>
      <c r="K146" s="261"/>
      <c r="L146" s="260"/>
      <c r="M146" s="260"/>
    </row>
    <row r="147" spans="1:13" x14ac:dyDescent="0.25">
      <c r="A147" s="260"/>
      <c r="B147" s="260"/>
      <c r="C147" s="260"/>
      <c r="D147" s="261"/>
      <c r="E147" s="261"/>
      <c r="F147" s="261"/>
      <c r="G147" s="260"/>
      <c r="H147" s="260"/>
      <c r="I147" s="261"/>
      <c r="J147" s="261"/>
      <c r="K147" s="261"/>
      <c r="L147" s="260"/>
      <c r="M147" s="260"/>
    </row>
    <row r="148" spans="1:13" x14ac:dyDescent="0.25">
      <c r="A148" s="260"/>
      <c r="B148" s="260"/>
      <c r="C148" s="260"/>
      <c r="D148" s="261"/>
      <c r="E148" s="261"/>
      <c r="F148" s="261"/>
      <c r="G148" s="260"/>
      <c r="H148" s="260"/>
      <c r="I148" s="261"/>
      <c r="J148" s="261"/>
      <c r="K148" s="261"/>
      <c r="L148" s="260"/>
      <c r="M148" s="260"/>
    </row>
    <row r="149" spans="1:13" x14ac:dyDescent="0.25">
      <c r="A149" s="260"/>
      <c r="B149" s="260"/>
      <c r="C149" s="260"/>
      <c r="D149" s="261"/>
      <c r="E149" s="261"/>
      <c r="F149" s="261"/>
      <c r="G149" s="260"/>
      <c r="H149" s="260"/>
      <c r="I149" s="261"/>
      <c r="J149" s="261"/>
      <c r="K149" s="261"/>
      <c r="L149" s="260"/>
      <c r="M149" s="260"/>
    </row>
    <row r="150" spans="1:13" x14ac:dyDescent="0.25">
      <c r="A150" s="260"/>
      <c r="B150" s="260"/>
      <c r="C150" s="260"/>
      <c r="D150" s="261"/>
      <c r="E150" s="261"/>
      <c r="F150" s="261"/>
      <c r="G150" s="260"/>
      <c r="H150" s="260"/>
      <c r="I150" s="261"/>
      <c r="J150" s="261"/>
      <c r="K150" s="261"/>
      <c r="L150" s="260"/>
      <c r="M150" s="260"/>
    </row>
    <row r="151" spans="1:13" x14ac:dyDescent="0.25">
      <c r="A151" s="260"/>
      <c r="B151" s="260"/>
      <c r="C151" s="260"/>
      <c r="D151" s="261"/>
      <c r="E151" s="261"/>
      <c r="F151" s="261"/>
      <c r="G151" s="260"/>
      <c r="H151" s="260"/>
      <c r="I151" s="261"/>
      <c r="J151" s="261"/>
      <c r="K151" s="261"/>
      <c r="L151" s="260"/>
      <c r="M151" s="260"/>
    </row>
    <row r="152" spans="1:13" x14ac:dyDescent="0.25">
      <c r="A152" s="260"/>
      <c r="B152" s="260"/>
      <c r="C152" s="260"/>
      <c r="D152" s="261"/>
      <c r="E152" s="261"/>
      <c r="F152" s="261"/>
      <c r="G152" s="260"/>
      <c r="H152" s="260"/>
      <c r="I152" s="261"/>
      <c r="J152" s="261"/>
      <c r="K152" s="261"/>
      <c r="L152" s="260"/>
      <c r="M152" s="260"/>
    </row>
    <row r="153" spans="1:13" x14ac:dyDescent="0.25">
      <c r="A153" s="260"/>
      <c r="B153" s="260"/>
      <c r="C153" s="260"/>
      <c r="D153" s="261"/>
      <c r="E153" s="261"/>
      <c r="F153" s="261"/>
      <c r="G153" s="260"/>
      <c r="H153" s="260"/>
      <c r="I153" s="261"/>
      <c r="J153" s="261"/>
      <c r="K153" s="261"/>
      <c r="L153" s="260"/>
      <c r="M153" s="260"/>
    </row>
    <row r="154" spans="1:13" x14ac:dyDescent="0.25">
      <c r="A154" s="260"/>
      <c r="B154" s="260"/>
      <c r="C154" s="260"/>
      <c r="D154" s="261"/>
      <c r="E154" s="261"/>
      <c r="F154" s="261"/>
      <c r="G154" s="260"/>
      <c r="H154" s="266"/>
      <c r="I154" s="261"/>
      <c r="J154" s="261"/>
      <c r="K154" s="261"/>
      <c r="L154" s="260"/>
      <c r="M154" s="260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2" t="s">
        <v>197</v>
      </c>
      <c r="B156" s="463"/>
      <c r="C156" s="464">
        <f>SumByColor($A$30,C128:C154)</f>
        <v>0</v>
      </c>
      <c r="D156" s="464"/>
      <c r="E156" s="464"/>
      <c r="F156" s="465">
        <f>SumByColor($A$30,F128:F154)</f>
        <v>0</v>
      </c>
      <c r="G156" s="464"/>
      <c r="H156" s="464">
        <f>SumByColor($A$30,H129:H154)</f>
        <v>0</v>
      </c>
      <c r="I156" s="464"/>
      <c r="J156" s="464"/>
      <c r="K156" s="465">
        <f>SumByColor($A$30,K129:K154)</f>
        <v>0</v>
      </c>
      <c r="L156" s="464"/>
      <c r="M156" s="465">
        <f>SumByColor($A$30,M128:M154)</f>
        <v>0</v>
      </c>
    </row>
  </sheetData>
  <mergeCells count="1">
    <mergeCell ref="O42:P42"/>
  </mergeCells>
  <conditionalFormatting sqref="F45:F59 F61:F91 F93:F102">
    <cfRule type="expression" dxfId="179" priority="31">
      <formula>F45&gt;0</formula>
    </cfRule>
    <cfRule type="expression" dxfId="178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77" priority="33">
      <formula>F40&gt;0</formula>
    </cfRule>
    <cfRule type="expression" dxfId="176" priority="34">
      <formula>F40&lt;0</formula>
    </cfRule>
  </conditionalFormatting>
  <conditionalFormatting sqref="F45:F59 F61:F91 F93:F102">
    <cfRule type="expression" dxfId="175" priority="29">
      <formula>F45&gt;0</formula>
    </cfRule>
    <cfRule type="expression" dxfId="174" priority="30">
      <formula>F45&lt;0</formula>
    </cfRule>
  </conditionalFormatting>
  <conditionalFormatting sqref="H40:H59 H61:H91 H93:H102">
    <cfRule type="expression" dxfId="173" priority="27">
      <formula>H40&gt;0</formula>
    </cfRule>
    <cfRule type="expression" dxfId="172" priority="28">
      <formula>H40&lt;0</formula>
    </cfRule>
  </conditionalFormatting>
  <conditionalFormatting sqref="F36:F39">
    <cfRule type="expression" dxfId="171" priority="25">
      <formula>F36&gt;0</formula>
    </cfRule>
    <cfRule type="expression" dxfId="170" priority="26">
      <formula>F36&lt;0</formula>
    </cfRule>
  </conditionalFormatting>
  <conditionalFormatting sqref="H36:H39">
    <cfRule type="expression" dxfId="169" priority="23">
      <formula>H36&gt;0</formula>
    </cfRule>
    <cfRule type="expression" dxfId="168" priority="24">
      <formula>H36&lt;0</formula>
    </cfRule>
  </conditionalFormatting>
  <conditionalFormatting sqref="Q7">
    <cfRule type="expression" dxfId="167" priority="17">
      <formula>Q7&gt;0</formula>
    </cfRule>
    <cfRule type="expression" dxfId="166" priority="18">
      <formula>Q7&lt;0</formula>
    </cfRule>
  </conditionalFormatting>
  <conditionalFormatting sqref="Q8">
    <cfRule type="expression" dxfId="165" priority="15">
      <formula>Q8&gt;0</formula>
    </cfRule>
    <cfRule type="expression" dxfId="164" priority="16">
      <formula>Q8&lt;0</formula>
    </cfRule>
  </conditionalFormatting>
  <conditionalFormatting sqref="Q10">
    <cfRule type="expression" dxfId="163" priority="13">
      <formula>Q10&gt;0</formula>
    </cfRule>
    <cfRule type="expression" dxfId="162" priority="14">
      <formula>Q10&lt;0</formula>
    </cfRule>
  </conditionalFormatting>
  <conditionalFormatting sqref="F60">
    <cfRule type="expression" dxfId="161" priority="11">
      <formula>F60&gt;0</formula>
    </cfRule>
    <cfRule type="expression" dxfId="160" priority="12">
      <formula>F60&lt;0</formula>
    </cfRule>
  </conditionalFormatting>
  <conditionalFormatting sqref="F60">
    <cfRule type="expression" dxfId="159" priority="9">
      <formula>F60&gt;0</formula>
    </cfRule>
    <cfRule type="expression" dxfId="158" priority="10">
      <formula>F60&lt;0</formula>
    </cfRule>
  </conditionalFormatting>
  <conditionalFormatting sqref="H60">
    <cfRule type="expression" dxfId="157" priority="7">
      <formula>H60&gt;0</formula>
    </cfRule>
    <cfRule type="expression" dxfId="156" priority="8">
      <formula>H60&lt;0</formula>
    </cfRule>
  </conditionalFormatting>
  <conditionalFormatting sqref="F92">
    <cfRule type="expression" dxfId="155" priority="5">
      <formula>F92&gt;0</formula>
    </cfRule>
    <cfRule type="expression" dxfId="154" priority="6">
      <formula>F92&lt;0</formula>
    </cfRule>
  </conditionalFormatting>
  <conditionalFormatting sqref="F92">
    <cfRule type="expression" dxfId="153" priority="3">
      <formula>F92&gt;0</formula>
    </cfRule>
    <cfRule type="expression" dxfId="152" priority="4">
      <formula>F92&lt;0</formula>
    </cfRule>
  </conditionalFormatting>
  <conditionalFormatting sqref="H92">
    <cfRule type="expression" dxfId="151" priority="1">
      <formula>H92&gt;0</formula>
    </cfRule>
    <cfRule type="expression" dxfId="150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364</v>
      </c>
      <c r="B2" s="454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4">
        <v>42760</v>
      </c>
      <c r="H2" s="184">
        <v>80</v>
      </c>
      <c r="I2" s="3">
        <v>33.68</v>
      </c>
      <c r="J2" s="3">
        <v>0.06</v>
      </c>
      <c r="K2" s="3">
        <f>H2*I2-J2</f>
        <v>2694.34</v>
      </c>
      <c r="L2" s="73"/>
      <c r="M2" s="3"/>
      <c r="O2" s="11" t="s">
        <v>57</v>
      </c>
      <c r="Q2" s="71">
        <f>C18-H18</f>
        <v>0</v>
      </c>
      <c r="W2" s="132">
        <v>42797</v>
      </c>
      <c r="X2" s="10">
        <v>34.97</v>
      </c>
      <c r="Y2" s="10">
        <v>35.049999999999997</v>
      </c>
      <c r="Z2" s="10">
        <v>34.47</v>
      </c>
      <c r="AA2" s="10">
        <v>34.700000000000003</v>
      </c>
      <c r="AB2" s="94">
        <v>6850600</v>
      </c>
      <c r="AC2" s="10">
        <v>34.700000000000003</v>
      </c>
      <c r="AD2" s="2">
        <f>Y2-Z2</f>
        <v>0.57999999999999829</v>
      </c>
      <c r="AE2" s="137">
        <f>AC2/AC3-1</f>
        <v>-2.8735632183906068E-3</v>
      </c>
    </row>
    <row r="3" spans="1:41" x14ac:dyDescent="0.25">
      <c r="A3" s="23" t="s">
        <v>71</v>
      </c>
      <c r="B3" s="454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454">
        <v>42766</v>
      </c>
      <c r="H3" s="184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29">
        <f>IF(Q2=0, Q4, (F18-K18-M18)/Q2)</f>
        <v>33.39</v>
      </c>
      <c r="T3" s="1"/>
      <c r="W3" s="132">
        <v>42796</v>
      </c>
      <c r="X3" s="10">
        <v>34.75</v>
      </c>
      <c r="Y3" s="10">
        <v>35.01</v>
      </c>
      <c r="Z3" s="10">
        <v>34.659999999999997</v>
      </c>
      <c r="AA3" s="10">
        <v>34.799999999999997</v>
      </c>
      <c r="AB3" s="94">
        <v>5054300</v>
      </c>
      <c r="AC3" s="10">
        <v>34.799999999999997</v>
      </c>
      <c r="AD3" s="2">
        <f t="shared" ref="AD3:AD66" si="0">Y3-Z3</f>
        <v>0.35000000000000142</v>
      </c>
      <c r="AE3" s="137">
        <f t="shared" ref="AE3:AE66" si="1">AC3/AC4-1</f>
        <v>-5.9982862039417162E-3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33.39</v>
      </c>
      <c r="R4" s="499">
        <v>1.2999999999999999E-2</v>
      </c>
      <c r="W4" s="132">
        <v>42795</v>
      </c>
      <c r="X4" s="10">
        <v>35.51</v>
      </c>
      <c r="Y4" s="10">
        <v>35.64</v>
      </c>
      <c r="Z4" s="10">
        <v>34.92</v>
      </c>
      <c r="AA4" s="10">
        <v>35.01</v>
      </c>
      <c r="AB4" s="94">
        <v>7782300</v>
      </c>
      <c r="AC4" s="10">
        <v>35.01</v>
      </c>
      <c r="AD4" s="2">
        <f t="shared" si="0"/>
        <v>0.71999999999999886</v>
      </c>
      <c r="AE4" s="137">
        <f t="shared" si="1"/>
        <v>-2.8555111364947372E-4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35.25</v>
      </c>
      <c r="Y5" s="10">
        <v>35.479999999999997</v>
      </c>
      <c r="Z5" s="10">
        <v>34.86</v>
      </c>
      <c r="AA5" s="10">
        <v>35.020000000000003</v>
      </c>
      <c r="AB5" s="94">
        <v>6448700</v>
      </c>
      <c r="AC5" s="10">
        <v>35.020000000000003</v>
      </c>
      <c r="AD5" s="2">
        <f t="shared" si="0"/>
        <v>0.61999999999999744</v>
      </c>
      <c r="AE5" s="137" t="e">
        <f t="shared" si="1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42794</v>
      </c>
      <c r="X6" s="10" t="s">
        <v>365</v>
      </c>
      <c r="Y6" s="10"/>
      <c r="Z6" s="10"/>
      <c r="AA6" s="10"/>
      <c r="AB6" s="94"/>
      <c r="AC6" s="10"/>
      <c r="AD6" s="2">
        <f t="shared" si="0"/>
        <v>0</v>
      </c>
      <c r="AE6" s="137">
        <f t="shared" si="1"/>
        <v>-1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2">
        <v>42793</v>
      </c>
      <c r="X7" s="10">
        <v>35.4</v>
      </c>
      <c r="Y7" s="10">
        <v>35.880000000000003</v>
      </c>
      <c r="Z7" s="10">
        <v>35.22</v>
      </c>
      <c r="AA7" s="10">
        <v>35.75</v>
      </c>
      <c r="AB7" s="94">
        <v>5735100</v>
      </c>
      <c r="AC7" s="10">
        <v>35.409999999999997</v>
      </c>
      <c r="AD7" s="2">
        <f t="shared" si="0"/>
        <v>0.66000000000000369</v>
      </c>
      <c r="AE7" s="137">
        <f t="shared" si="1"/>
        <v>1.0559360730593603E-2</v>
      </c>
    </row>
    <row r="8" spans="1:41" x14ac:dyDescent="0.25">
      <c r="O8" s="11" t="s">
        <v>183</v>
      </c>
      <c r="P8" s="34"/>
      <c r="Q8" s="2">
        <f>K18+M18-F18+Q2*Q4</f>
        <v>-46.489999999999782</v>
      </c>
      <c r="W8" s="132">
        <v>42790</v>
      </c>
      <c r="X8" s="10">
        <v>35.799999999999997</v>
      </c>
      <c r="Y8" s="10">
        <v>35.909999999999997</v>
      </c>
      <c r="Z8" s="10">
        <v>35.270000000000003</v>
      </c>
      <c r="AA8" s="10">
        <v>35.380000000000003</v>
      </c>
      <c r="AB8" s="94">
        <v>6115400</v>
      </c>
      <c r="AC8" s="10">
        <v>35.04</v>
      </c>
      <c r="AD8" s="2">
        <f t="shared" si="0"/>
        <v>0.63999999999999346</v>
      </c>
      <c r="AE8" s="137">
        <f t="shared" si="1"/>
        <v>-1.2401352874858995E-2</v>
      </c>
    </row>
    <row r="9" spans="1:41" x14ac:dyDescent="0.25">
      <c r="O9" s="11" t="s">
        <v>213</v>
      </c>
      <c r="Q9" s="137">
        <f>IF(Q2=0, 0, Q8/Q6)</f>
        <v>0</v>
      </c>
      <c r="W9" s="132">
        <v>42789</v>
      </c>
      <c r="X9" s="10">
        <v>35.83</v>
      </c>
      <c r="Y9" s="10">
        <v>36.200000000000003</v>
      </c>
      <c r="Z9" s="10">
        <v>35.67</v>
      </c>
      <c r="AA9" s="10">
        <v>35.82</v>
      </c>
      <c r="AB9" s="94">
        <v>6348800</v>
      </c>
      <c r="AC9" s="10">
        <v>35.479999999999997</v>
      </c>
      <c r="AD9" s="2">
        <f t="shared" si="0"/>
        <v>0.53000000000000114</v>
      </c>
      <c r="AE9" s="137">
        <f t="shared" si="1"/>
        <v>-4.2099354476565765E-3</v>
      </c>
    </row>
    <row r="10" spans="1:41" x14ac:dyDescent="0.25">
      <c r="O10" s="11" t="s">
        <v>212</v>
      </c>
      <c r="P10" s="34"/>
      <c r="Q10" s="2">
        <f>M36</f>
        <v>0</v>
      </c>
      <c r="W10" s="132">
        <v>42788</v>
      </c>
      <c r="X10" s="10">
        <v>36.5</v>
      </c>
      <c r="Y10" s="10">
        <v>36.69</v>
      </c>
      <c r="Z10" s="10">
        <v>35.96</v>
      </c>
      <c r="AA10" s="10">
        <v>35.97</v>
      </c>
      <c r="AB10" s="94">
        <v>6933500</v>
      </c>
      <c r="AC10" s="10">
        <v>35.630000000000003</v>
      </c>
      <c r="AD10" s="2">
        <f t="shared" si="0"/>
        <v>0.72999999999999687</v>
      </c>
      <c r="AE10" s="137">
        <f t="shared" si="1"/>
        <v>-1.845730027548198E-2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3.9100000000000003E-2</v>
      </c>
      <c r="W11" s="132">
        <v>42787</v>
      </c>
      <c r="X11" s="10">
        <v>37.47</v>
      </c>
      <c r="Y11" s="10">
        <v>37.94</v>
      </c>
      <c r="Z11" s="10">
        <v>36.1</v>
      </c>
      <c r="AA11" s="10">
        <v>36.65</v>
      </c>
      <c r="AB11" s="94">
        <v>25866500</v>
      </c>
      <c r="AC11" s="10">
        <v>36.299999999999997</v>
      </c>
      <c r="AD11" s="2">
        <f t="shared" si="0"/>
        <v>1.8399999999999963</v>
      </c>
      <c r="AE11" s="137">
        <f t="shared" si="1"/>
        <v>4.1009463722397443E-2</v>
      </c>
    </row>
    <row r="12" spans="1:41" x14ac:dyDescent="0.25">
      <c r="W12" s="132">
        <v>42783</v>
      </c>
      <c r="X12" s="10">
        <v>35.82</v>
      </c>
      <c r="Y12" s="10">
        <v>36.01</v>
      </c>
      <c r="Z12" s="10">
        <v>35.17</v>
      </c>
      <c r="AA12" s="10">
        <v>35.200000000000003</v>
      </c>
      <c r="AB12" s="94">
        <v>7883800</v>
      </c>
      <c r="AC12" s="10">
        <v>34.869999999999997</v>
      </c>
      <c r="AD12" s="2">
        <f t="shared" si="0"/>
        <v>0.83999999999999631</v>
      </c>
      <c r="AE12" s="137">
        <f t="shared" si="1"/>
        <v>-1.6915703411333527E-2</v>
      </c>
    </row>
    <row r="13" spans="1:41" x14ac:dyDescent="0.25">
      <c r="W13" s="132">
        <v>42782</v>
      </c>
      <c r="X13" s="10">
        <v>36.4</v>
      </c>
      <c r="Y13" s="10">
        <v>36.590000000000003</v>
      </c>
      <c r="Z13" s="10">
        <v>35.520000000000003</v>
      </c>
      <c r="AA13" s="10">
        <v>35.81</v>
      </c>
      <c r="AB13" s="94">
        <v>14532800</v>
      </c>
      <c r="AC13" s="10">
        <v>35.47</v>
      </c>
      <c r="AD13" s="2">
        <f t="shared" si="0"/>
        <v>1.0700000000000003</v>
      </c>
      <c r="AE13" s="137">
        <f t="shared" si="1"/>
        <v>-2.6084568918176898E-2</v>
      </c>
    </row>
    <row r="14" spans="1:41" x14ac:dyDescent="0.25">
      <c r="W14" s="132">
        <v>42781</v>
      </c>
      <c r="X14" s="10">
        <v>34.94</v>
      </c>
      <c r="Y14" s="10">
        <v>37.020000000000003</v>
      </c>
      <c r="Z14" s="10">
        <v>34.92</v>
      </c>
      <c r="AA14" s="10">
        <v>36.770000000000003</v>
      </c>
      <c r="AB14" s="94">
        <v>21671000</v>
      </c>
      <c r="AC14" s="10">
        <v>36.42</v>
      </c>
      <c r="AD14" s="2">
        <f t="shared" si="0"/>
        <v>2.1000000000000014</v>
      </c>
      <c r="AE14" s="137">
        <f t="shared" si="1"/>
        <v>5.3514608041654643E-2</v>
      </c>
    </row>
    <row r="15" spans="1:41" x14ac:dyDescent="0.25">
      <c r="W15" s="132">
        <v>42780</v>
      </c>
      <c r="X15" s="10">
        <v>33.83</v>
      </c>
      <c r="Y15" s="10">
        <v>35.08</v>
      </c>
      <c r="Z15" s="10">
        <v>33.65</v>
      </c>
      <c r="AA15" s="10">
        <v>34.9</v>
      </c>
      <c r="AB15" s="94">
        <v>16688100</v>
      </c>
      <c r="AC15" s="10">
        <v>34.57</v>
      </c>
      <c r="AD15" s="2">
        <f t="shared" si="0"/>
        <v>1.4299999999999997</v>
      </c>
      <c r="AE15" s="137">
        <f t="shared" si="1"/>
        <v>2.6425178147268413E-2</v>
      </c>
    </row>
    <row r="16" spans="1:41" x14ac:dyDescent="0.25">
      <c r="W16" s="132">
        <v>42779</v>
      </c>
      <c r="X16" s="10">
        <v>33.43</v>
      </c>
      <c r="Y16" s="10">
        <v>34.950000000000003</v>
      </c>
      <c r="Z16" s="10">
        <v>33.25</v>
      </c>
      <c r="AA16" s="10">
        <v>34</v>
      </c>
      <c r="AB16" s="94">
        <v>22869900</v>
      </c>
      <c r="AC16" s="10">
        <v>33.68</v>
      </c>
      <c r="AD16" s="2">
        <f t="shared" si="0"/>
        <v>1.7000000000000028</v>
      </c>
      <c r="AE16" s="137">
        <f t="shared" si="1"/>
        <v>5.6461731493099077E-2</v>
      </c>
    </row>
    <row r="17" spans="1:31" x14ac:dyDescent="0.25">
      <c r="W17" s="132">
        <v>42776</v>
      </c>
      <c r="X17" s="10">
        <v>32</v>
      </c>
      <c r="Y17" s="10">
        <v>32.5</v>
      </c>
      <c r="Z17" s="10">
        <v>31.92</v>
      </c>
      <c r="AA17" s="10">
        <v>32.19</v>
      </c>
      <c r="AB17" s="94">
        <v>13823800</v>
      </c>
      <c r="AC17" s="10">
        <v>31.88</v>
      </c>
      <c r="AD17" s="2">
        <f t="shared" si="0"/>
        <v>0.57999999999999829</v>
      </c>
      <c r="AE17" s="137">
        <f t="shared" si="1"/>
        <v>-1.8785222291798354E-3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2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>
        <v>42775</v>
      </c>
      <c r="X18" s="10">
        <v>32.380000000000003</v>
      </c>
      <c r="Y18" s="10">
        <v>32.85</v>
      </c>
      <c r="Z18" s="10">
        <v>32.19</v>
      </c>
      <c r="AA18" s="10">
        <v>32.25</v>
      </c>
      <c r="AB18" s="94">
        <v>9257600</v>
      </c>
      <c r="AC18" s="10">
        <v>31.94</v>
      </c>
      <c r="AD18" s="2">
        <f t="shared" si="0"/>
        <v>0.66000000000000369</v>
      </c>
      <c r="AE18" s="137">
        <f t="shared" si="1"/>
        <v>-4.0536326785156618E-3</v>
      </c>
    </row>
    <row r="19" spans="1:31" x14ac:dyDescent="0.25">
      <c r="G19" s="2"/>
      <c r="W19" s="132">
        <v>42774</v>
      </c>
      <c r="X19" s="10">
        <v>32.200000000000003</v>
      </c>
      <c r="Y19" s="10">
        <v>32.96</v>
      </c>
      <c r="Z19" s="10">
        <v>31.9</v>
      </c>
      <c r="AA19" s="10">
        <v>32.380000000000003</v>
      </c>
      <c r="AB19" s="94">
        <v>15233600</v>
      </c>
      <c r="AC19" s="10">
        <v>32.07</v>
      </c>
      <c r="AD19" s="2">
        <f t="shared" si="0"/>
        <v>1.0600000000000023</v>
      </c>
      <c r="AE19" s="137">
        <f t="shared" si="1"/>
        <v>5.9598494353827469E-3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42773</v>
      </c>
      <c r="X20" s="10">
        <v>33.5</v>
      </c>
      <c r="Y20" s="10">
        <v>33.520000000000003</v>
      </c>
      <c r="Z20" s="10">
        <v>32.08</v>
      </c>
      <c r="AA20" s="10">
        <v>32.19</v>
      </c>
      <c r="AB20" s="94">
        <v>35906700</v>
      </c>
      <c r="AC20" s="10">
        <v>31.88</v>
      </c>
      <c r="AD20" s="2">
        <f t="shared" si="0"/>
        <v>1.4400000000000048</v>
      </c>
      <c r="AE20" s="137">
        <f t="shared" si="1"/>
        <v>-6.2904174015285252E-2</v>
      </c>
    </row>
    <row r="21" spans="1:31" x14ac:dyDescent="0.25">
      <c r="B21" s="192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0">
        <f>(E21-D21)/D21</f>
        <v>7.6425631981186948E-3</v>
      </c>
      <c r="I21" s="230"/>
      <c r="W21" s="132">
        <v>42772</v>
      </c>
      <c r="X21" s="10">
        <v>34.200000000000003</v>
      </c>
      <c r="Y21" s="10">
        <v>34.49</v>
      </c>
      <c r="Z21" s="10">
        <v>34.01</v>
      </c>
      <c r="AA21" s="10">
        <v>34.35</v>
      </c>
      <c r="AB21" s="94">
        <v>5628700</v>
      </c>
      <c r="AC21" s="10">
        <v>34.020000000000003</v>
      </c>
      <c r="AD21" s="2">
        <f t="shared" si="0"/>
        <v>0.48000000000000398</v>
      </c>
      <c r="AE21" s="137">
        <f t="shared" si="1"/>
        <v>-2.6385224274405594E-3</v>
      </c>
    </row>
    <row r="22" spans="1:31" x14ac:dyDescent="0.25">
      <c r="B22" s="192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0">
        <f>(E22-D22)/D22</f>
        <v>-2.1830143540669766E-2</v>
      </c>
      <c r="I22" s="230"/>
      <c r="W22" s="132">
        <v>42769</v>
      </c>
      <c r="X22" s="10">
        <v>34.479999999999997</v>
      </c>
      <c r="Y22" s="10">
        <v>34.58</v>
      </c>
      <c r="Z22" s="10">
        <v>34.01</v>
      </c>
      <c r="AA22" s="10">
        <v>34.44</v>
      </c>
      <c r="AB22" s="94">
        <v>7294100</v>
      </c>
      <c r="AC22" s="10">
        <v>34.11</v>
      </c>
      <c r="AD22" s="2">
        <f t="shared" si="0"/>
        <v>0.57000000000000028</v>
      </c>
      <c r="AE22" s="137">
        <f t="shared" si="1"/>
        <v>7.3833431777909908E-3</v>
      </c>
    </row>
    <row r="23" spans="1:31" x14ac:dyDescent="0.25">
      <c r="A23" t="s">
        <v>405</v>
      </c>
      <c r="B23" s="192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0">
        <f>(E23-D23)/D23</f>
        <v>2.1798158457594429E-2</v>
      </c>
      <c r="I23" s="230"/>
      <c r="W23" s="132">
        <v>42768</v>
      </c>
      <c r="X23" s="10">
        <v>34.299999999999997</v>
      </c>
      <c r="Y23" s="10">
        <v>34.53</v>
      </c>
      <c r="Z23" s="10">
        <v>33.950000000000003</v>
      </c>
      <c r="AA23" s="10">
        <v>34.19</v>
      </c>
      <c r="AB23" s="94">
        <v>10763700</v>
      </c>
      <c r="AC23" s="10">
        <v>33.86</v>
      </c>
      <c r="AD23" s="2">
        <f t="shared" si="0"/>
        <v>0.57999999999999829</v>
      </c>
      <c r="AE23" s="137">
        <f t="shared" si="1"/>
        <v>-1.4551804423748593E-2</v>
      </c>
    </row>
    <row r="24" spans="1:31" x14ac:dyDescent="0.25">
      <c r="B24" s="192">
        <v>42766</v>
      </c>
      <c r="C24" s="10">
        <v>0</v>
      </c>
      <c r="D24" s="40"/>
      <c r="E24" s="40"/>
      <c r="F24" s="40">
        <v>-46.49</v>
      </c>
      <c r="G24" s="40"/>
      <c r="H24" s="230"/>
      <c r="I24" s="230"/>
      <c r="W24" s="132">
        <v>42767</v>
      </c>
      <c r="X24" s="10">
        <v>34.200000000000003</v>
      </c>
      <c r="Y24" s="10">
        <v>34.76</v>
      </c>
      <c r="Z24" s="10">
        <v>33.71</v>
      </c>
      <c r="AA24" s="10">
        <v>34.69</v>
      </c>
      <c r="AB24" s="94">
        <v>17253400</v>
      </c>
      <c r="AC24" s="10">
        <v>34.36</v>
      </c>
      <c r="AD24" s="2">
        <f t="shared" si="0"/>
        <v>1.0499999999999972</v>
      </c>
      <c r="AE24" s="137">
        <f t="shared" si="1"/>
        <v>3.7752944729688931E-2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42766</v>
      </c>
      <c r="X25" s="10">
        <v>32.35</v>
      </c>
      <c r="Y25" s="10">
        <v>33.69</v>
      </c>
      <c r="Z25" s="10">
        <v>32.19</v>
      </c>
      <c r="AA25" s="10">
        <v>33.43</v>
      </c>
      <c r="AB25" s="94">
        <v>36904000</v>
      </c>
      <c r="AC25" s="10">
        <v>33.11</v>
      </c>
      <c r="AD25" s="2">
        <f t="shared" si="0"/>
        <v>1.5</v>
      </c>
      <c r="AE25" s="137">
        <f t="shared" si="1"/>
        <v>-3.1588183679438386E-2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42765</v>
      </c>
      <c r="X26" s="10">
        <v>34.479999999999997</v>
      </c>
      <c r="Y26" s="10">
        <v>34.99</v>
      </c>
      <c r="Z26" s="10">
        <v>34.200000000000003</v>
      </c>
      <c r="AA26" s="10">
        <v>34.520000000000003</v>
      </c>
      <c r="AB26" s="94">
        <v>7659700</v>
      </c>
      <c r="AC26" s="10">
        <v>34.19</v>
      </c>
      <c r="AD26" s="2">
        <f t="shared" si="0"/>
        <v>0.78999999999999915</v>
      </c>
      <c r="AE26" s="137">
        <f t="shared" si="1"/>
        <v>-2.0431990659661725E-3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42762</v>
      </c>
      <c r="X27" s="10">
        <v>34.049999999999997</v>
      </c>
      <c r="Y27" s="10">
        <v>34.770000000000003</v>
      </c>
      <c r="Z27" s="10">
        <v>34.01</v>
      </c>
      <c r="AA27" s="10">
        <v>34.590000000000003</v>
      </c>
      <c r="AB27" s="94">
        <v>10950900</v>
      </c>
      <c r="AC27" s="10">
        <v>34.26</v>
      </c>
      <c r="AD27" s="2">
        <f t="shared" si="0"/>
        <v>0.76000000000000512</v>
      </c>
      <c r="AE27" s="137">
        <f t="shared" si="1"/>
        <v>1.9339482296935495E-2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42761</v>
      </c>
      <c r="X28" s="10">
        <v>33.9</v>
      </c>
      <c r="Y28" s="10">
        <v>34.21</v>
      </c>
      <c r="Z28" s="10">
        <v>33.58</v>
      </c>
      <c r="AA28" s="10">
        <v>33.93</v>
      </c>
      <c r="AB28" s="94">
        <v>10699100</v>
      </c>
      <c r="AC28" s="10">
        <v>33.61</v>
      </c>
      <c r="AD28" s="2">
        <f t="shared" si="0"/>
        <v>0.63000000000000256</v>
      </c>
      <c r="AE28" s="137">
        <f t="shared" si="1"/>
        <v>7.494004796163134E-3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42760</v>
      </c>
      <c r="X29" s="10">
        <v>32.68</v>
      </c>
      <c r="Y29" s="10">
        <v>33.99</v>
      </c>
      <c r="Z29" s="10">
        <v>32.619999999999997</v>
      </c>
      <c r="AA29" s="10">
        <v>33.68</v>
      </c>
      <c r="AB29" s="94">
        <v>12863700</v>
      </c>
      <c r="AC29" s="10">
        <v>33.36</v>
      </c>
      <c r="AD29" s="2">
        <f t="shared" si="0"/>
        <v>1.3700000000000045</v>
      </c>
      <c r="AE29" s="137">
        <f t="shared" si="1"/>
        <v>3.3137194177764062E-2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42759</v>
      </c>
      <c r="X30" s="10">
        <v>32.79</v>
      </c>
      <c r="Y30" s="10">
        <v>32.94</v>
      </c>
      <c r="Z30" s="10">
        <v>32.340000000000003</v>
      </c>
      <c r="AA30" s="10">
        <v>32.6</v>
      </c>
      <c r="AB30" s="94">
        <v>10457300</v>
      </c>
      <c r="AC30" s="10">
        <v>32.29</v>
      </c>
      <c r="AD30" s="2">
        <f t="shared" si="0"/>
        <v>0.59999999999999432</v>
      </c>
      <c r="AE30" s="137">
        <f t="shared" si="1"/>
        <v>-3.395061728395099E-3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42758</v>
      </c>
      <c r="X31" s="10">
        <v>33.08</v>
      </c>
      <c r="Y31" s="10">
        <v>33.1</v>
      </c>
      <c r="Z31" s="10">
        <v>32.11</v>
      </c>
      <c r="AA31" s="10">
        <v>32.71</v>
      </c>
      <c r="AB31" s="94">
        <v>14135000</v>
      </c>
      <c r="AC31" s="10">
        <v>32.4</v>
      </c>
      <c r="AD31" s="2">
        <f t="shared" si="0"/>
        <v>0.99000000000000199</v>
      </c>
      <c r="AE31" s="137">
        <f t="shared" si="1"/>
        <v>-1.5496809480400997E-2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42755</v>
      </c>
      <c r="X32" s="10">
        <v>33.42</v>
      </c>
      <c r="Y32" s="10">
        <v>33.57</v>
      </c>
      <c r="Z32" s="10">
        <v>33.159999999999997</v>
      </c>
      <c r="AA32" s="10">
        <v>33.229999999999997</v>
      </c>
      <c r="AB32" s="94">
        <v>8444300</v>
      </c>
      <c r="AC32" s="10">
        <v>32.909999999999997</v>
      </c>
      <c r="AD32" s="2">
        <f t="shared" si="0"/>
        <v>0.41000000000000369</v>
      </c>
      <c r="AE32" s="137">
        <f t="shared" si="1"/>
        <v>-7.2398190045249722E-3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42754</v>
      </c>
      <c r="X33" s="10">
        <v>33.979999999999997</v>
      </c>
      <c r="Y33" s="10">
        <v>34.090000000000003</v>
      </c>
      <c r="Z33" s="10">
        <v>33.46</v>
      </c>
      <c r="AA33" s="10">
        <v>33.47</v>
      </c>
      <c r="AB33" s="94">
        <v>7498400</v>
      </c>
      <c r="AC33" s="10">
        <v>33.15</v>
      </c>
      <c r="AD33" s="2">
        <f t="shared" si="0"/>
        <v>0.63000000000000256</v>
      </c>
      <c r="AE33" s="137">
        <f t="shared" si="1"/>
        <v>-1.8650088809946785E-2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42753</v>
      </c>
      <c r="X34" s="10">
        <v>33.9</v>
      </c>
      <c r="Y34" s="10">
        <v>34.200000000000003</v>
      </c>
      <c r="Z34" s="10">
        <v>33.729999999999997</v>
      </c>
      <c r="AA34" s="10">
        <v>34.1</v>
      </c>
      <c r="AB34" s="94">
        <v>10017900</v>
      </c>
      <c r="AC34" s="10">
        <v>33.78</v>
      </c>
      <c r="AD34" s="2">
        <f t="shared" si="0"/>
        <v>0.47000000000000597</v>
      </c>
      <c r="AE34" s="137">
        <f t="shared" si="1"/>
        <v>1.046963804965606E-2</v>
      </c>
    </row>
    <row r="35" spans="1:31" x14ac:dyDescent="0.25">
      <c r="W35" s="132">
        <v>42752</v>
      </c>
      <c r="X35" s="10">
        <v>34.049999999999997</v>
      </c>
      <c r="Y35" s="10">
        <v>34.119999999999997</v>
      </c>
      <c r="Z35" s="10">
        <v>33.619999999999997</v>
      </c>
      <c r="AA35" s="10">
        <v>33.75</v>
      </c>
      <c r="AB35" s="94">
        <v>9978900</v>
      </c>
      <c r="AC35" s="10">
        <v>33.43</v>
      </c>
      <c r="AD35" s="2">
        <f t="shared" si="0"/>
        <v>0.5</v>
      </c>
      <c r="AE35" s="137">
        <f t="shared" si="1"/>
        <v>-6.5378900445764998E-3</v>
      </c>
    </row>
    <row r="36" spans="1:31" x14ac:dyDescent="0.25">
      <c r="L36" t="s">
        <v>214</v>
      </c>
      <c r="M36" s="2">
        <f>M50+K50-F50</f>
        <v>0</v>
      </c>
      <c r="W36" s="132">
        <v>42748</v>
      </c>
      <c r="X36" s="10">
        <v>34.25</v>
      </c>
      <c r="Y36" s="10">
        <v>34.47</v>
      </c>
      <c r="Z36" s="10">
        <v>33.86</v>
      </c>
      <c r="AA36" s="10">
        <v>33.97</v>
      </c>
      <c r="AB36" s="94">
        <v>12592100</v>
      </c>
      <c r="AC36" s="10">
        <v>33.65</v>
      </c>
      <c r="AD36" s="2">
        <f t="shared" si="0"/>
        <v>0.60999999999999943</v>
      </c>
      <c r="AE36" s="137">
        <f t="shared" si="1"/>
        <v>8.9232599643063182E-4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42747</v>
      </c>
      <c r="X37" s="10">
        <v>34.270000000000003</v>
      </c>
      <c r="Y37" s="10">
        <v>34.69</v>
      </c>
      <c r="Z37" s="10">
        <v>33.93</v>
      </c>
      <c r="AA37" s="10">
        <v>33.94</v>
      </c>
      <c r="AB37" s="94">
        <v>10755500</v>
      </c>
      <c r="AC37" s="10">
        <v>33.619999999999997</v>
      </c>
      <c r="AD37" s="2">
        <f t="shared" si="0"/>
        <v>0.75999999999999801</v>
      </c>
      <c r="AE37" s="137">
        <f t="shared" si="1"/>
        <v>-9.7201767304861963E-3</v>
      </c>
    </row>
    <row r="38" spans="1:31" x14ac:dyDescent="0.25">
      <c r="A38" s="387" t="s">
        <v>364</v>
      </c>
      <c r="B38" s="377"/>
      <c r="C38" s="378"/>
      <c r="D38" s="379"/>
      <c r="E38" s="379"/>
      <c r="F38" s="379"/>
      <c r="G38" s="377"/>
      <c r="H38" s="382"/>
      <c r="I38" s="379"/>
      <c r="J38" s="379"/>
      <c r="K38" s="379"/>
      <c r="L38" s="377"/>
      <c r="M38" s="379"/>
      <c r="W38" s="132">
        <v>42746</v>
      </c>
      <c r="X38" s="10">
        <v>35.159999999999997</v>
      </c>
      <c r="Y38" s="10">
        <v>35.49</v>
      </c>
      <c r="Z38" s="10">
        <v>33.56</v>
      </c>
      <c r="AA38" s="10">
        <v>34.28</v>
      </c>
      <c r="AB38" s="94">
        <v>15639600</v>
      </c>
      <c r="AC38" s="10">
        <v>33.950000000000003</v>
      </c>
      <c r="AD38" s="2">
        <f t="shared" si="0"/>
        <v>1.9299999999999997</v>
      </c>
      <c r="AE38" s="137">
        <f t="shared" si="1"/>
        <v>-2.6383710926297543E-2</v>
      </c>
    </row>
    <row r="39" spans="1:31" x14ac:dyDescent="0.25">
      <c r="A39" s="388" t="s">
        <v>71</v>
      </c>
      <c r="B39" s="377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42745</v>
      </c>
      <c r="X39" s="10">
        <v>35.049999999999997</v>
      </c>
      <c r="Y39" s="10">
        <v>35.26</v>
      </c>
      <c r="Z39" s="10">
        <v>34.6</v>
      </c>
      <c r="AA39" s="10">
        <v>35.200000000000003</v>
      </c>
      <c r="AB39" s="94">
        <v>11956900</v>
      </c>
      <c r="AC39" s="10">
        <v>34.869999999999997</v>
      </c>
      <c r="AD39" s="2">
        <f t="shared" si="0"/>
        <v>0.65999999999999659</v>
      </c>
      <c r="AE39" s="137">
        <f t="shared" si="1"/>
        <v>4.0310970342642971E-3</v>
      </c>
    </row>
    <row r="40" spans="1:31" x14ac:dyDescent="0.25">
      <c r="A40" s="378"/>
      <c r="B40" s="378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42744</v>
      </c>
      <c r="X40" s="10">
        <v>35.15</v>
      </c>
      <c r="Y40" s="10">
        <v>35.44</v>
      </c>
      <c r="Z40" s="10">
        <v>34.93</v>
      </c>
      <c r="AA40" s="10">
        <v>35.06</v>
      </c>
      <c r="AB40" s="94">
        <v>11731200</v>
      </c>
      <c r="AC40" s="10">
        <v>34.729999999999997</v>
      </c>
      <c r="AD40" s="2">
        <f t="shared" si="0"/>
        <v>0.50999999999999801</v>
      </c>
      <c r="AE40" s="137">
        <f t="shared" si="1"/>
        <v>-1.1504170261721347E-3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42741</v>
      </c>
      <c r="X41" s="10">
        <v>36.9</v>
      </c>
      <c r="Y41" s="10">
        <v>36.979999999999997</v>
      </c>
      <c r="Z41" s="10">
        <v>35</v>
      </c>
      <c r="AA41" s="10">
        <v>35.1</v>
      </c>
      <c r="AB41" s="94">
        <v>33846500</v>
      </c>
      <c r="AC41" s="10">
        <v>34.770000000000003</v>
      </c>
      <c r="AD41" s="2">
        <f t="shared" si="0"/>
        <v>1.9799999999999969</v>
      </c>
      <c r="AE41" s="137">
        <f t="shared" si="1"/>
        <v>-7.5265957446808418E-2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590" t="s">
        <v>78</v>
      </c>
      <c r="P42" s="590"/>
      <c r="Q42" s="34"/>
      <c r="R42" s="34"/>
      <c r="T42" s="90" t="s">
        <v>113</v>
      </c>
      <c r="W42" s="132">
        <v>42740</v>
      </c>
      <c r="X42" s="10">
        <v>37.96</v>
      </c>
      <c r="Y42" s="10">
        <v>38.15</v>
      </c>
      <c r="Z42" s="10">
        <v>37.29</v>
      </c>
      <c r="AA42" s="10">
        <v>37.96</v>
      </c>
      <c r="AB42" s="94">
        <v>4983700</v>
      </c>
      <c r="AC42" s="10">
        <v>37.6</v>
      </c>
      <c r="AD42" s="2">
        <f t="shared" si="0"/>
        <v>0.85999999999999943</v>
      </c>
      <c r="AE42" s="137">
        <f t="shared" si="1"/>
        <v>5.8855002675226586E-3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36.729000000000006</v>
      </c>
      <c r="Q43" s="34"/>
      <c r="R43" s="34"/>
      <c r="T43" s="127" t="s">
        <v>98</v>
      </c>
      <c r="U43" s="97">
        <v>34.799999999999997</v>
      </c>
      <c r="W43" s="132">
        <v>42739</v>
      </c>
      <c r="X43" s="10">
        <v>38.06</v>
      </c>
      <c r="Y43" s="10">
        <v>38.31</v>
      </c>
      <c r="Z43" s="10">
        <v>37.58</v>
      </c>
      <c r="AA43" s="10">
        <v>37.74</v>
      </c>
      <c r="AB43" s="94">
        <v>6624700</v>
      </c>
      <c r="AC43" s="10">
        <v>37.380000000000003</v>
      </c>
      <c r="AD43" s="2">
        <f t="shared" si="0"/>
        <v>0.73000000000000398</v>
      </c>
      <c r="AE43" s="137">
        <f t="shared" si="1"/>
        <v>7.0043103448276245E-3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2">O44*$Q$4</f>
        <v>36.395100000000006</v>
      </c>
      <c r="Q44" s="34"/>
      <c r="R44" s="34"/>
      <c r="T44" s="92" t="s">
        <v>99</v>
      </c>
      <c r="U44" s="87">
        <v>34.97</v>
      </c>
      <c r="W44" s="132">
        <v>42738</v>
      </c>
      <c r="X44" s="10">
        <v>36.69</v>
      </c>
      <c r="Y44" s="10">
        <v>37.479999999999997</v>
      </c>
      <c r="Z44" s="10">
        <v>36.450000000000003</v>
      </c>
      <c r="AA44" s="10">
        <v>37.479999999999997</v>
      </c>
      <c r="AB44" s="94">
        <v>6946200</v>
      </c>
      <c r="AC44" s="10">
        <v>37.119999999999997</v>
      </c>
      <c r="AD44" s="2">
        <f t="shared" si="0"/>
        <v>1.029999999999994</v>
      </c>
      <c r="AE44" s="137">
        <f t="shared" si="1"/>
        <v>3.3695349484823112E-2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2"/>
        <v>36.061199999999999</v>
      </c>
      <c r="Q45" s="34"/>
      <c r="R45" s="34"/>
      <c r="T45" s="92" t="s">
        <v>100</v>
      </c>
      <c r="U45" s="87" t="s">
        <v>129</v>
      </c>
      <c r="W45" s="132">
        <v>42734</v>
      </c>
      <c r="X45" s="10">
        <v>36</v>
      </c>
      <c r="Y45" s="10">
        <v>36.43</v>
      </c>
      <c r="Z45" s="10">
        <v>35.92</v>
      </c>
      <c r="AA45" s="10">
        <v>36.25</v>
      </c>
      <c r="AB45" s="94">
        <v>4944800</v>
      </c>
      <c r="AC45" s="10">
        <v>35.909999999999997</v>
      </c>
      <c r="AD45" s="2">
        <f t="shared" si="0"/>
        <v>0.50999999999999801</v>
      </c>
      <c r="AE45" s="137">
        <f t="shared" si="1"/>
        <v>4.756575265808527E-3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2"/>
        <v>35.7273</v>
      </c>
      <c r="Q46" s="82"/>
      <c r="R46" s="34"/>
      <c r="T46" s="92" t="s">
        <v>101</v>
      </c>
      <c r="U46" s="87" t="s">
        <v>129</v>
      </c>
      <c r="W46" s="132">
        <v>42733</v>
      </c>
      <c r="X46" s="10">
        <v>35.85</v>
      </c>
      <c r="Y46" s="10">
        <v>36.26</v>
      </c>
      <c r="Z46" s="10">
        <v>35.81</v>
      </c>
      <c r="AA46" s="10">
        <v>36.08</v>
      </c>
      <c r="AB46" s="94">
        <v>3618100</v>
      </c>
      <c r="AC46" s="10">
        <v>35.74</v>
      </c>
      <c r="AD46" s="2">
        <f t="shared" si="0"/>
        <v>0.44999999999999574</v>
      </c>
      <c r="AE46" s="137">
        <f t="shared" si="1"/>
        <v>4.214667041303688E-3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2"/>
        <v>35.3934</v>
      </c>
      <c r="Q47" s="82"/>
      <c r="R47" s="34"/>
      <c r="T47" s="92" t="s">
        <v>102</v>
      </c>
      <c r="U47" s="87">
        <v>40.57</v>
      </c>
      <c r="W47" s="132">
        <v>42732</v>
      </c>
      <c r="X47" s="10">
        <v>36.32</v>
      </c>
      <c r="Y47" s="10">
        <v>36.46</v>
      </c>
      <c r="Z47" s="10">
        <v>35.85</v>
      </c>
      <c r="AA47" s="10">
        <v>35.93</v>
      </c>
      <c r="AB47" s="94">
        <v>4658700</v>
      </c>
      <c r="AC47" s="10">
        <v>35.590000000000003</v>
      </c>
      <c r="AD47" s="2">
        <f t="shared" si="0"/>
        <v>0.60999999999999943</v>
      </c>
      <c r="AE47" s="137">
        <f t="shared" si="1"/>
        <v>-1.1114198388441188E-2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2"/>
        <v>35.0595</v>
      </c>
      <c r="Q48" s="82"/>
      <c r="R48" s="34"/>
      <c r="T48" s="92" t="s">
        <v>103</v>
      </c>
      <c r="U48" s="87">
        <v>0.54265200000000002</v>
      </c>
      <c r="W48" s="132">
        <v>42731</v>
      </c>
      <c r="X48" s="10">
        <v>36.64</v>
      </c>
      <c r="Y48" s="10">
        <v>36.82</v>
      </c>
      <c r="Z48" s="10">
        <v>36.26</v>
      </c>
      <c r="AA48" s="10">
        <v>36.340000000000003</v>
      </c>
      <c r="AB48" s="94">
        <v>4335100</v>
      </c>
      <c r="AC48" s="10">
        <v>35.99</v>
      </c>
      <c r="AD48" s="2">
        <f t="shared" si="0"/>
        <v>0.56000000000000227</v>
      </c>
      <c r="AE48" s="137">
        <f t="shared" si="1"/>
        <v>-1.3161502604880693E-2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2"/>
        <v>34.7256</v>
      </c>
      <c r="Q49" s="82"/>
      <c r="R49" s="34"/>
      <c r="T49" s="92" t="s">
        <v>104</v>
      </c>
      <c r="U49" s="87" t="s">
        <v>129</v>
      </c>
      <c r="W49" s="132">
        <v>42727</v>
      </c>
      <c r="X49" s="10">
        <v>36.909999999999997</v>
      </c>
      <c r="Y49" s="10">
        <v>36.950000000000003</v>
      </c>
      <c r="Z49" s="10">
        <v>36.46</v>
      </c>
      <c r="AA49" s="10">
        <v>36.82</v>
      </c>
      <c r="AB49" s="94">
        <v>2814400</v>
      </c>
      <c r="AC49" s="10">
        <v>36.47</v>
      </c>
      <c r="AD49" s="2">
        <f t="shared" si="0"/>
        <v>0.49000000000000199</v>
      </c>
      <c r="AE49" s="137">
        <f t="shared" si="1"/>
        <v>-2.4617067833698769E-3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2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2"/>
        <v>34.3917</v>
      </c>
      <c r="Q50" s="82"/>
      <c r="R50" s="34"/>
      <c r="T50" s="92"/>
      <c r="U50" s="87"/>
      <c r="W50" s="132">
        <v>42726</v>
      </c>
      <c r="X50" s="10">
        <v>36.49</v>
      </c>
      <c r="Y50" s="10">
        <v>37.39</v>
      </c>
      <c r="Z50" s="10">
        <v>36.35</v>
      </c>
      <c r="AA50" s="10">
        <v>36.909999999999997</v>
      </c>
      <c r="AB50" s="94">
        <v>5832800</v>
      </c>
      <c r="AC50" s="10">
        <v>36.56</v>
      </c>
      <c r="AD50" s="2">
        <f t="shared" si="0"/>
        <v>1.0399999999999991</v>
      </c>
      <c r="AE50" s="137">
        <f t="shared" si="1"/>
        <v>1.4991671293725695E-2</v>
      </c>
    </row>
    <row r="51" spans="1:31" x14ac:dyDescent="0.25">
      <c r="G51" s="2"/>
      <c r="O51" s="82">
        <v>1.02</v>
      </c>
      <c r="P51" s="82">
        <f t="shared" si="2"/>
        <v>34.0578</v>
      </c>
      <c r="Q51" s="82"/>
      <c r="R51" s="34"/>
      <c r="T51" s="92" t="s">
        <v>105</v>
      </c>
      <c r="U51" s="87" t="s">
        <v>709</v>
      </c>
      <c r="W51" s="132">
        <v>42725</v>
      </c>
      <c r="X51" s="10">
        <v>36.25</v>
      </c>
      <c r="Y51" s="10">
        <v>36.479999999999997</v>
      </c>
      <c r="Z51" s="10">
        <v>36.03</v>
      </c>
      <c r="AA51" s="10">
        <v>36.369999999999997</v>
      </c>
      <c r="AB51" s="94">
        <v>3549000</v>
      </c>
      <c r="AC51" s="10">
        <v>36.020000000000003</v>
      </c>
      <c r="AD51" s="2">
        <f t="shared" si="0"/>
        <v>0.44999999999999574</v>
      </c>
      <c r="AE51" s="137">
        <f t="shared" si="1"/>
        <v>3.0632135895296564E-3</v>
      </c>
    </row>
    <row r="52" spans="1:31" x14ac:dyDescent="0.25">
      <c r="O52" s="82">
        <v>1.01</v>
      </c>
      <c r="P52" s="82">
        <f t="shared" si="2"/>
        <v>33.7239</v>
      </c>
      <c r="Q52" s="82"/>
      <c r="R52" s="34"/>
      <c r="T52" s="92" t="s">
        <v>106</v>
      </c>
      <c r="U52" s="87" t="s">
        <v>464</v>
      </c>
      <c r="W52" s="132">
        <v>42724</v>
      </c>
      <c r="X52" s="10">
        <v>36.630000000000003</v>
      </c>
      <c r="Y52" s="10">
        <v>36.78</v>
      </c>
      <c r="Z52" s="10">
        <v>36.03</v>
      </c>
      <c r="AA52" s="10">
        <v>36.25</v>
      </c>
      <c r="AB52" s="94">
        <v>4664200</v>
      </c>
      <c r="AC52" s="10">
        <v>35.909999999999997</v>
      </c>
      <c r="AD52" s="2">
        <f t="shared" si="0"/>
        <v>0.75</v>
      </c>
      <c r="AE52" s="137">
        <f t="shared" si="1"/>
        <v>-8.5588072887907707E-3</v>
      </c>
    </row>
    <row r="53" spans="1:31" x14ac:dyDescent="0.25">
      <c r="O53" s="82">
        <v>1</v>
      </c>
      <c r="P53" s="82">
        <f t="shared" si="2"/>
        <v>33.39</v>
      </c>
      <c r="Q53" s="82"/>
      <c r="R53" s="34"/>
      <c r="T53" s="92" t="s">
        <v>107</v>
      </c>
      <c r="U53" s="89">
        <v>6860084</v>
      </c>
      <c r="W53" s="132">
        <v>42723</v>
      </c>
      <c r="X53" s="10">
        <v>36.479999999999997</v>
      </c>
      <c r="Y53" s="10">
        <v>36.869999999999997</v>
      </c>
      <c r="Z53" s="10">
        <v>36.4</v>
      </c>
      <c r="AA53" s="10">
        <v>36.57</v>
      </c>
      <c r="AB53" s="94">
        <v>5114200</v>
      </c>
      <c r="AC53" s="10">
        <v>36.22</v>
      </c>
      <c r="AD53" s="2">
        <f t="shared" si="0"/>
        <v>0.46999999999999886</v>
      </c>
      <c r="AE53" s="137">
        <f t="shared" si="1"/>
        <v>1.6592920353983853E-3</v>
      </c>
    </row>
    <row r="54" spans="1:31" x14ac:dyDescent="0.25">
      <c r="O54" s="82">
        <v>0.99</v>
      </c>
      <c r="P54" s="82">
        <f t="shared" si="2"/>
        <v>33.056100000000001</v>
      </c>
      <c r="Q54" s="82"/>
      <c r="R54" s="34"/>
      <c r="T54" s="92" t="s">
        <v>110</v>
      </c>
      <c r="U54" s="89">
        <v>11074100</v>
      </c>
      <c r="W54" s="132">
        <v>42720</v>
      </c>
      <c r="X54" s="10">
        <v>36.96</v>
      </c>
      <c r="Y54" s="10">
        <v>36.979999999999997</v>
      </c>
      <c r="Z54" s="10">
        <v>36.299999999999997</v>
      </c>
      <c r="AA54" s="10">
        <v>36.51</v>
      </c>
      <c r="AB54" s="94">
        <v>5486400</v>
      </c>
      <c r="AC54" s="10">
        <v>36.159999999999997</v>
      </c>
      <c r="AD54" s="2">
        <f t="shared" si="0"/>
        <v>0.67999999999999972</v>
      </c>
      <c r="AE54" s="137">
        <f t="shared" si="1"/>
        <v>-6.0472787245741122E-3</v>
      </c>
    </row>
    <row r="55" spans="1:31" x14ac:dyDescent="0.25">
      <c r="O55" s="82">
        <v>0.98</v>
      </c>
      <c r="P55" s="82">
        <f t="shared" si="2"/>
        <v>32.722200000000001</v>
      </c>
      <c r="Q55" s="82"/>
      <c r="T55" s="92" t="s">
        <v>108</v>
      </c>
      <c r="U55" s="87" t="s">
        <v>710</v>
      </c>
      <c r="W55" s="132">
        <v>42719</v>
      </c>
      <c r="X55" s="10">
        <v>36.78</v>
      </c>
      <c r="Y55" s="10">
        <v>37.56</v>
      </c>
      <c r="Z55" s="10">
        <v>36.42</v>
      </c>
      <c r="AA55" s="10">
        <v>36.729999999999997</v>
      </c>
      <c r="AB55" s="94">
        <v>6696400</v>
      </c>
      <c r="AC55" s="10">
        <v>36.380000000000003</v>
      </c>
      <c r="AD55" s="2">
        <f t="shared" si="0"/>
        <v>1.1400000000000006</v>
      </c>
      <c r="AE55" s="137">
        <f t="shared" si="1"/>
        <v>-7.3669849931785603E-3</v>
      </c>
    </row>
    <row r="56" spans="1:31" x14ac:dyDescent="0.25">
      <c r="O56" s="82">
        <v>0.97</v>
      </c>
      <c r="P56" s="82">
        <f t="shared" si="2"/>
        <v>32.388300000000001</v>
      </c>
      <c r="Q56" s="82"/>
      <c r="T56" s="92" t="s">
        <v>111</v>
      </c>
      <c r="U56" s="87">
        <v>495.71</v>
      </c>
      <c r="W56" s="132">
        <v>42718</v>
      </c>
      <c r="X56" s="10">
        <v>37.299999999999997</v>
      </c>
      <c r="Y56" s="10">
        <v>37.51</v>
      </c>
      <c r="Z56" s="10">
        <v>36.54</v>
      </c>
      <c r="AA56" s="10">
        <v>37</v>
      </c>
      <c r="AB56" s="94">
        <v>10609100</v>
      </c>
      <c r="AC56" s="10">
        <v>36.65</v>
      </c>
      <c r="AD56" s="2">
        <f t="shared" si="0"/>
        <v>0.96999999999999886</v>
      </c>
      <c r="AE56" s="137">
        <f t="shared" si="1"/>
        <v>-1.7426273458445052E-2</v>
      </c>
    </row>
    <row r="57" spans="1:31" x14ac:dyDescent="0.25">
      <c r="O57" s="82">
        <v>0.96</v>
      </c>
      <c r="P57" s="82">
        <f t="shared" si="2"/>
        <v>32.054400000000001</v>
      </c>
      <c r="Q57" s="82"/>
      <c r="T57" s="92" t="s">
        <v>112</v>
      </c>
      <c r="U57" s="87">
        <v>7.0000000000000007E-2</v>
      </c>
      <c r="W57" s="132">
        <v>42717</v>
      </c>
      <c r="X57" s="10">
        <v>37.58</v>
      </c>
      <c r="Y57" s="10">
        <v>37.79</v>
      </c>
      <c r="Z57" s="10">
        <v>37.39</v>
      </c>
      <c r="AA57" s="10">
        <v>37.659999999999997</v>
      </c>
      <c r="AB57" s="94">
        <v>6750200</v>
      </c>
      <c r="AC57" s="10">
        <v>37.299999999999997</v>
      </c>
      <c r="AD57" s="2">
        <f t="shared" si="0"/>
        <v>0.39999999999999858</v>
      </c>
      <c r="AE57" s="137">
        <f t="shared" si="1"/>
        <v>1.084010840108407E-2</v>
      </c>
    </row>
    <row r="58" spans="1:31" x14ac:dyDescent="0.25">
      <c r="O58" s="82">
        <v>0.95</v>
      </c>
      <c r="P58" s="82">
        <f t="shared" si="2"/>
        <v>31.720499999999998</v>
      </c>
      <c r="Q58" s="82"/>
      <c r="T58" s="92" t="s">
        <v>109</v>
      </c>
      <c r="U58" s="87" t="s">
        <v>711</v>
      </c>
      <c r="W58" s="132">
        <v>42716</v>
      </c>
      <c r="X58" s="10">
        <v>36.369999999999997</v>
      </c>
      <c r="Y58" s="10">
        <v>37.69</v>
      </c>
      <c r="Z58" s="10">
        <v>36.36</v>
      </c>
      <c r="AA58" s="10">
        <v>37.25</v>
      </c>
      <c r="AB58" s="94">
        <v>8814300</v>
      </c>
      <c r="AC58" s="10">
        <v>36.9</v>
      </c>
      <c r="AD58" s="2">
        <f t="shared" si="0"/>
        <v>1.3299999999999983</v>
      </c>
      <c r="AE58" s="137">
        <f t="shared" si="1"/>
        <v>2.6425591098748091E-2</v>
      </c>
    </row>
    <row r="59" spans="1:31" x14ac:dyDescent="0.25">
      <c r="O59" s="82">
        <v>0.94</v>
      </c>
      <c r="P59" s="82">
        <f t="shared" si="2"/>
        <v>31.386599999999998</v>
      </c>
      <c r="Q59" s="82"/>
      <c r="W59" s="132">
        <v>42713</v>
      </c>
      <c r="X59" s="10">
        <v>36.22</v>
      </c>
      <c r="Y59" s="10">
        <v>36.86</v>
      </c>
      <c r="Z59" s="10">
        <v>36.15</v>
      </c>
      <c r="AA59" s="10">
        <v>36.299999999999997</v>
      </c>
      <c r="AB59" s="94">
        <v>7696100</v>
      </c>
      <c r="AC59" s="10">
        <v>35.950000000000003</v>
      </c>
      <c r="AD59" s="2">
        <f t="shared" si="0"/>
        <v>0.71000000000000085</v>
      </c>
      <c r="AE59" s="137">
        <f t="shared" si="1"/>
        <v>1.0683159966263789E-2</v>
      </c>
    </row>
    <row r="60" spans="1:31" x14ac:dyDescent="0.25">
      <c r="O60" s="82">
        <v>0.93</v>
      </c>
      <c r="P60" s="82">
        <f t="shared" si="2"/>
        <v>31.052700000000002</v>
      </c>
      <c r="Q60" s="82"/>
      <c r="W60" s="132">
        <v>42712</v>
      </c>
      <c r="X60" s="10">
        <v>35.4</v>
      </c>
      <c r="Y60" s="10">
        <v>36.479999999999997</v>
      </c>
      <c r="Z60" s="10">
        <v>35.22</v>
      </c>
      <c r="AA60" s="10">
        <v>35.909999999999997</v>
      </c>
      <c r="AB60" s="94">
        <v>11320900</v>
      </c>
      <c r="AC60" s="10">
        <v>35.57</v>
      </c>
      <c r="AD60" s="2">
        <f t="shared" si="0"/>
        <v>1.259999999999998</v>
      </c>
      <c r="AE60" s="137">
        <f t="shared" si="1"/>
        <v>1.8322359003721811E-2</v>
      </c>
    </row>
    <row r="61" spans="1:31" x14ac:dyDescent="0.25">
      <c r="O61" s="82">
        <v>0.92</v>
      </c>
      <c r="P61" s="82">
        <f t="shared" si="2"/>
        <v>30.718800000000002</v>
      </c>
      <c r="Q61" s="82"/>
      <c r="W61" s="132">
        <v>42711</v>
      </c>
      <c r="X61" s="10">
        <v>35.29</v>
      </c>
      <c r="Y61" s="10">
        <v>35.32</v>
      </c>
      <c r="Z61" s="10">
        <v>34.619999999999997</v>
      </c>
      <c r="AA61" s="10">
        <v>35.270000000000003</v>
      </c>
      <c r="AB61" s="94">
        <v>10408200</v>
      </c>
      <c r="AC61" s="10">
        <v>34.93</v>
      </c>
      <c r="AD61" s="2">
        <f t="shared" si="0"/>
        <v>0.70000000000000284</v>
      </c>
      <c r="AE61" s="137">
        <f t="shared" si="1"/>
        <v>6.6282420749279591E-3</v>
      </c>
    </row>
    <row r="62" spans="1:31" x14ac:dyDescent="0.25">
      <c r="O62" s="82">
        <v>0.91</v>
      </c>
      <c r="P62" s="82">
        <f t="shared" si="2"/>
        <v>30.384900000000002</v>
      </c>
      <c r="Q62" s="82"/>
      <c r="W62" s="132">
        <v>42710</v>
      </c>
      <c r="X62" s="10">
        <v>35.33</v>
      </c>
      <c r="Y62" s="10">
        <v>35.950000000000003</v>
      </c>
      <c r="Z62" s="10">
        <v>34.57</v>
      </c>
      <c r="AA62" s="10">
        <v>35.03</v>
      </c>
      <c r="AB62" s="94">
        <v>30830700</v>
      </c>
      <c r="AC62" s="10">
        <v>34.700000000000003</v>
      </c>
      <c r="AD62" s="2">
        <f t="shared" si="0"/>
        <v>1.3800000000000026</v>
      </c>
      <c r="AE62" s="137">
        <f t="shared" si="1"/>
        <v>-5.4238212046879175E-2</v>
      </c>
    </row>
    <row r="63" spans="1:31" x14ac:dyDescent="0.25">
      <c r="O63" s="82">
        <v>0.9</v>
      </c>
      <c r="P63" s="82">
        <f t="shared" si="2"/>
        <v>30.051000000000002</v>
      </c>
      <c r="Q63" s="82"/>
      <c r="W63" s="132">
        <v>42709</v>
      </c>
      <c r="X63" s="10">
        <v>36.65</v>
      </c>
      <c r="Y63" s="10">
        <v>37.18</v>
      </c>
      <c r="Z63" s="10">
        <v>36.4</v>
      </c>
      <c r="AA63" s="10">
        <v>37.04</v>
      </c>
      <c r="AB63" s="94">
        <v>6751500</v>
      </c>
      <c r="AC63" s="10">
        <v>36.69</v>
      </c>
      <c r="AD63" s="2">
        <f t="shared" si="0"/>
        <v>0.78000000000000114</v>
      </c>
      <c r="AE63" s="137">
        <f t="shared" si="1"/>
        <v>1.4096185737976663E-2</v>
      </c>
    </row>
    <row r="64" spans="1:31" x14ac:dyDescent="0.25">
      <c r="O64" s="34"/>
      <c r="W64" s="132">
        <v>42706</v>
      </c>
      <c r="X64" s="10">
        <v>36.700000000000003</v>
      </c>
      <c r="Y64" s="10">
        <v>37.11</v>
      </c>
      <c r="Z64" s="10">
        <v>36.409999999999997</v>
      </c>
      <c r="AA64" s="10">
        <v>36.53</v>
      </c>
      <c r="AB64" s="94">
        <v>6924100</v>
      </c>
      <c r="AC64" s="10">
        <v>36.18</v>
      </c>
      <c r="AD64" s="2">
        <f t="shared" si="0"/>
        <v>0.70000000000000284</v>
      </c>
      <c r="AE64" s="137">
        <f t="shared" si="1"/>
        <v>-1.104362230811673E-3</v>
      </c>
    </row>
    <row r="65" spans="15:31" x14ac:dyDescent="0.25">
      <c r="W65" s="132">
        <v>42705</v>
      </c>
      <c r="X65" s="10">
        <v>37.4</v>
      </c>
      <c r="Y65" s="10">
        <v>37.68</v>
      </c>
      <c r="Z65" s="10">
        <v>36.56</v>
      </c>
      <c r="AA65" s="10">
        <v>36.57</v>
      </c>
      <c r="AB65" s="94">
        <v>6557800</v>
      </c>
      <c r="AC65" s="10">
        <v>36.22</v>
      </c>
      <c r="AD65" s="2">
        <f t="shared" si="0"/>
        <v>1.1199999999999974</v>
      </c>
      <c r="AE65" s="137" t="e">
        <f t="shared" si="1"/>
        <v>#DIV/0!</v>
      </c>
    </row>
    <row r="66" spans="15:31" x14ac:dyDescent="0.25">
      <c r="W66" s="132">
        <v>42705</v>
      </c>
      <c r="X66" s="10" t="s">
        <v>365</v>
      </c>
      <c r="Y66" s="10"/>
      <c r="Z66" s="10"/>
      <c r="AA66" s="10"/>
      <c r="AB66" s="94"/>
      <c r="AC66" s="10"/>
      <c r="AD66" s="2">
        <f t="shared" si="0"/>
        <v>0</v>
      </c>
      <c r="AE66" s="137">
        <f t="shared" si="1"/>
        <v>-1</v>
      </c>
    </row>
    <row r="67" spans="15:31" x14ac:dyDescent="0.25">
      <c r="W67" s="132">
        <v>42704</v>
      </c>
      <c r="X67" s="10">
        <v>37.79</v>
      </c>
      <c r="Y67" s="10">
        <v>38.380000000000003</v>
      </c>
      <c r="Z67" s="10">
        <v>37.4</v>
      </c>
      <c r="AA67" s="10">
        <v>37.700000000000003</v>
      </c>
      <c r="AB67" s="94">
        <v>10812600</v>
      </c>
      <c r="AC67" s="10">
        <v>37</v>
      </c>
      <c r="AD67" s="2">
        <f>Y67-Z67</f>
        <v>0.98000000000000398</v>
      </c>
      <c r="AE67" s="137">
        <f>AC67/AC68-1</f>
        <v>-4.3057050592033574E-3</v>
      </c>
    </row>
    <row r="68" spans="15:31" x14ac:dyDescent="0.25">
      <c r="W68" s="132">
        <v>42703</v>
      </c>
      <c r="X68" s="10">
        <v>38.17</v>
      </c>
      <c r="Y68" s="10">
        <v>38.49</v>
      </c>
      <c r="Z68" s="10">
        <v>37.71</v>
      </c>
      <c r="AA68" s="10">
        <v>37.86</v>
      </c>
      <c r="AB68" s="94">
        <v>5516900</v>
      </c>
      <c r="AC68" s="10">
        <v>37.159999999999997</v>
      </c>
      <c r="AD68" s="2">
        <f>Y68-Z68</f>
        <v>0.78000000000000114</v>
      </c>
      <c r="AE68" s="137" t="e">
        <f>AC68/AC70-1</f>
        <v>#DIV/0!</v>
      </c>
    </row>
    <row r="69" spans="15:31" x14ac:dyDescent="0.25">
      <c r="O69" s="34"/>
      <c r="W69" s="283">
        <v>42702</v>
      </c>
      <c r="X69">
        <v>38.159999999999997</v>
      </c>
      <c r="Y69">
        <v>38.4</v>
      </c>
      <c r="Z69">
        <v>38.04</v>
      </c>
      <c r="AA69">
        <v>38.15</v>
      </c>
      <c r="AB69" s="234">
        <v>4883100</v>
      </c>
      <c r="AC69">
        <v>37.450000000000003</v>
      </c>
    </row>
    <row r="70" spans="15:31" x14ac:dyDescent="0.25">
      <c r="W70" s="132" t="s">
        <v>121</v>
      </c>
      <c r="X70" s="10"/>
      <c r="Y70" s="10"/>
      <c r="Z70" s="10"/>
      <c r="AA70" s="10"/>
      <c r="AB70" s="94"/>
      <c r="AC70" s="10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49" priority="31">
      <formula>F25&gt;0</formula>
    </cfRule>
    <cfRule type="expression" dxfId="148" priority="32">
      <formula>F25&lt;0</formula>
    </cfRule>
  </conditionalFormatting>
  <conditionalFormatting sqref="H25:H27">
    <cfRule type="expression" dxfId="147" priority="29">
      <formula>H25&gt;0</formula>
    </cfRule>
    <cfRule type="expression" dxfId="146" priority="30">
      <formula>H25&lt;0</formula>
    </cfRule>
  </conditionalFormatting>
  <conditionalFormatting sqref="H28">
    <cfRule type="expression" dxfId="145" priority="27">
      <formula>H28&gt;0</formula>
    </cfRule>
    <cfRule type="expression" dxfId="144" priority="28">
      <formula>H28&lt;0</formula>
    </cfRule>
  </conditionalFormatting>
  <conditionalFormatting sqref="H29">
    <cfRule type="expression" dxfId="143" priority="25">
      <formula>H29&gt;0</formula>
    </cfRule>
    <cfRule type="expression" dxfId="142" priority="26">
      <formula>H29&lt;0</formula>
    </cfRule>
  </conditionalFormatting>
  <conditionalFormatting sqref="H30:H34">
    <cfRule type="expression" dxfId="141" priority="23">
      <formula>H30&gt;0</formula>
    </cfRule>
    <cfRule type="expression" dxfId="140" priority="24">
      <formula>H30&lt;0</formula>
    </cfRule>
  </conditionalFormatting>
  <conditionalFormatting sqref="F21:F24">
    <cfRule type="expression" dxfId="139" priority="21">
      <formula>F21&gt;0</formula>
    </cfRule>
    <cfRule type="expression" dxfId="138" priority="22">
      <formula>F21&lt;0</formula>
    </cfRule>
  </conditionalFormatting>
  <conditionalFormatting sqref="H21:H24">
    <cfRule type="expression" dxfId="137" priority="19">
      <formula>H21&gt;0</formula>
    </cfRule>
    <cfRule type="expression" dxfId="136" priority="20">
      <formula>H21&lt;0</formula>
    </cfRule>
  </conditionalFormatting>
  <conditionalFormatting sqref="F30:F31">
    <cfRule type="expression" dxfId="135" priority="17">
      <formula>F30&gt;0</formula>
    </cfRule>
    <cfRule type="expression" dxfId="134" priority="18">
      <formula>F30&lt;0</formula>
    </cfRule>
  </conditionalFormatting>
  <conditionalFormatting sqref="I25:I27">
    <cfRule type="expression" dxfId="133" priority="15">
      <formula>I25&gt;0</formula>
    </cfRule>
    <cfRule type="expression" dxfId="132" priority="16">
      <formula>I25&lt;0</formula>
    </cfRule>
  </conditionalFormatting>
  <conditionalFormatting sqref="I28">
    <cfRule type="expression" dxfId="131" priority="13">
      <formula>I28&gt;0</formula>
    </cfRule>
    <cfRule type="expression" dxfId="130" priority="14">
      <formula>I28&lt;0</formula>
    </cfRule>
  </conditionalFormatting>
  <conditionalFormatting sqref="I29">
    <cfRule type="expression" dxfId="129" priority="11">
      <formula>I29&gt;0</formula>
    </cfRule>
    <cfRule type="expression" dxfId="128" priority="12">
      <formula>I29&lt;0</formula>
    </cfRule>
  </conditionalFormatting>
  <conditionalFormatting sqref="I30:I34">
    <cfRule type="expression" dxfId="127" priority="9">
      <formula>I30&gt;0</formula>
    </cfRule>
    <cfRule type="expression" dxfId="126" priority="10">
      <formula>I30&lt;0</formula>
    </cfRule>
  </conditionalFormatting>
  <conditionalFormatting sqref="I21:I24">
    <cfRule type="expression" dxfId="125" priority="7">
      <formula>I21&gt;0</formula>
    </cfRule>
    <cfRule type="expression" dxfId="124" priority="8">
      <formula>I21&lt;0</formula>
    </cfRule>
  </conditionalFormatting>
  <conditionalFormatting sqref="F32">
    <cfRule type="expression" dxfId="123" priority="5">
      <formula>F32&gt;0</formula>
    </cfRule>
    <cfRule type="expression" dxfId="122" priority="6">
      <formula>F32&lt;0</formula>
    </cfRule>
  </conditionalFormatting>
  <conditionalFormatting sqref="Q8">
    <cfRule type="expression" dxfId="121" priority="1">
      <formula>Q8&gt;0</formula>
    </cfRule>
    <cfRule type="expression" dxfId="120" priority="2">
      <formula>Q8&lt;0</formula>
    </cfRule>
  </conditionalFormatting>
  <conditionalFormatting sqref="Q7">
    <cfRule type="expression" dxfId="119" priority="3">
      <formula>Q7&gt;0</formula>
    </cfRule>
    <cfRule type="expression" dxfId="1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9" activePane="bottomLeft" state="frozen"/>
      <selection activeCell="A2" sqref="A2"/>
      <selection pane="bottomLeft" activeCell="H35" sqref="H35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42797</v>
      </c>
      <c r="X2" s="10">
        <v>110.59</v>
      </c>
      <c r="Y2" s="10">
        <v>111.5</v>
      </c>
      <c r="Z2" s="10">
        <v>110.04</v>
      </c>
      <c r="AA2" s="10">
        <v>111.24</v>
      </c>
      <c r="AB2" s="94">
        <v>5837900</v>
      </c>
      <c r="AC2" s="10">
        <v>111.24</v>
      </c>
      <c r="AD2" s="2">
        <f>Y2-Z2</f>
        <v>1.4599999999999937</v>
      </c>
      <c r="AE2" s="137">
        <f>AC2/AC3-1</f>
        <v>5.8775657835246076E-3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110.92</v>
      </c>
      <c r="T3" s="1"/>
      <c r="W3" s="132">
        <v>42796</v>
      </c>
      <c r="X3" s="10">
        <v>111</v>
      </c>
      <c r="Y3" s="10">
        <v>111.21</v>
      </c>
      <c r="Z3" s="10">
        <v>110.45</v>
      </c>
      <c r="AA3" s="10">
        <v>110.59</v>
      </c>
      <c r="AB3" s="94">
        <v>4713000</v>
      </c>
      <c r="AC3" s="10">
        <v>110.59</v>
      </c>
      <c r="AD3" s="2">
        <f t="shared" ref="AD3:AD66" si="0">Y3-Z3</f>
        <v>0.75999999999999091</v>
      </c>
      <c r="AE3" s="137">
        <f t="shared" ref="AE3:AE66" si="1">AC3/AC4-1</f>
        <v>-4.0525936599423718E-3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110.92</v>
      </c>
      <c r="R4" s="499">
        <v>-1E-3</v>
      </c>
      <c r="T4" s="162"/>
      <c r="W4" s="132">
        <v>42795</v>
      </c>
      <c r="X4" s="10">
        <v>110.66</v>
      </c>
      <c r="Y4" s="10">
        <v>111.8</v>
      </c>
      <c r="Z4" s="10">
        <v>110.66</v>
      </c>
      <c r="AA4" s="10">
        <v>111.04</v>
      </c>
      <c r="AB4" s="94">
        <v>7359400</v>
      </c>
      <c r="AC4" s="10">
        <v>111.04</v>
      </c>
      <c r="AD4" s="2">
        <f t="shared" si="0"/>
        <v>1.1400000000000006</v>
      </c>
      <c r="AE4" s="137">
        <f t="shared" si="1"/>
        <v>8.6293032973021599E-3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110</v>
      </c>
      <c r="Y5" s="10">
        <v>110.4</v>
      </c>
      <c r="Z5" s="10">
        <v>109.83</v>
      </c>
      <c r="AA5" s="10">
        <v>110.09</v>
      </c>
      <c r="AB5" s="94">
        <v>4749000</v>
      </c>
      <c r="AC5" s="10">
        <v>110.09</v>
      </c>
      <c r="AD5" s="2">
        <f t="shared" si="0"/>
        <v>0.57000000000000739</v>
      </c>
      <c r="AE5" s="137">
        <f t="shared" si="1"/>
        <v>-1.2700716683298197E-3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109.93</v>
      </c>
      <c r="Y6" s="10">
        <v>110.47</v>
      </c>
      <c r="Z6" s="10">
        <v>109.83</v>
      </c>
      <c r="AA6" s="10">
        <v>110.23</v>
      </c>
      <c r="AB6" s="94">
        <v>3436400</v>
      </c>
      <c r="AC6" s="10">
        <v>110.23</v>
      </c>
      <c r="AD6" s="2">
        <f t="shared" si="0"/>
        <v>0.64000000000000057</v>
      </c>
      <c r="AE6" s="137">
        <f t="shared" si="1"/>
        <v>-8.158085569252016E-4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42790</v>
      </c>
      <c r="X7" s="10">
        <v>109.62</v>
      </c>
      <c r="Y7" s="10">
        <v>110.32</v>
      </c>
      <c r="Z7" s="10">
        <v>109.1</v>
      </c>
      <c r="AA7" s="10">
        <v>110.32</v>
      </c>
      <c r="AB7" s="94">
        <v>4766100</v>
      </c>
      <c r="AC7" s="10">
        <v>110.32</v>
      </c>
      <c r="AD7" s="2">
        <f t="shared" si="0"/>
        <v>1.2199999999999989</v>
      </c>
      <c r="AE7" s="137">
        <f t="shared" si="1"/>
        <v>5.37683404720668E-3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110.3</v>
      </c>
      <c r="Y8" s="10">
        <v>110.49</v>
      </c>
      <c r="Z8" s="10">
        <v>109.59</v>
      </c>
      <c r="AA8" s="10">
        <v>109.73</v>
      </c>
      <c r="AB8" s="94">
        <v>5470400</v>
      </c>
      <c r="AC8" s="10">
        <v>109.73</v>
      </c>
      <c r="AD8" s="2">
        <f t="shared" si="0"/>
        <v>0.89999999999999147</v>
      </c>
      <c r="AE8" s="137">
        <f t="shared" si="1"/>
        <v>-3.5415909916455268E-3</v>
      </c>
    </row>
    <row r="9" spans="1:31" x14ac:dyDescent="0.25">
      <c r="B9" s="73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109.69</v>
      </c>
      <c r="Y9" s="10">
        <v>110.28</v>
      </c>
      <c r="Z9" s="10">
        <v>109.53</v>
      </c>
      <c r="AA9" s="10">
        <v>110.12</v>
      </c>
      <c r="AB9" s="94">
        <v>5473400</v>
      </c>
      <c r="AC9" s="10">
        <v>110.12</v>
      </c>
      <c r="AD9" s="2">
        <f t="shared" si="0"/>
        <v>0.75</v>
      </c>
      <c r="AE9" s="137">
        <f t="shared" si="1"/>
        <v>9.9990909917280213E-4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42787</v>
      </c>
      <c r="X10" s="10">
        <v>109.94</v>
      </c>
      <c r="Y10" s="10">
        <v>110.21</v>
      </c>
      <c r="Z10" s="10">
        <v>109.8</v>
      </c>
      <c r="AA10" s="10">
        <v>110.01</v>
      </c>
      <c r="AB10" s="94">
        <v>4991500</v>
      </c>
      <c r="AC10" s="10">
        <v>110.01</v>
      </c>
      <c r="AD10" s="2">
        <f t="shared" si="0"/>
        <v>0.40999999999999659</v>
      </c>
      <c r="AE10" s="137">
        <f t="shared" si="1"/>
        <v>-4.5429765582405413E-4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1.41E-2</v>
      </c>
      <c r="W11" s="132">
        <v>42783</v>
      </c>
      <c r="X11" s="10">
        <v>110.24</v>
      </c>
      <c r="Y11" s="10">
        <v>110.5</v>
      </c>
      <c r="Z11" s="10">
        <v>109.52</v>
      </c>
      <c r="AA11" s="10">
        <v>110.06</v>
      </c>
      <c r="AB11" s="94">
        <v>6287300</v>
      </c>
      <c r="AC11" s="10">
        <v>110.06</v>
      </c>
      <c r="AD11" s="2">
        <f t="shared" si="0"/>
        <v>0.98000000000000398</v>
      </c>
      <c r="AE11" s="137">
        <f t="shared" si="1"/>
        <v>-5.8711950140004632E-3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42782</v>
      </c>
      <c r="X12" s="10">
        <v>110.34</v>
      </c>
      <c r="Y12" s="10">
        <v>110.87</v>
      </c>
      <c r="Z12" s="10">
        <v>110.09</v>
      </c>
      <c r="AA12" s="10">
        <v>110.71</v>
      </c>
      <c r="AB12" s="94">
        <v>7169400</v>
      </c>
      <c r="AC12" s="10">
        <v>110.71</v>
      </c>
      <c r="AD12" s="2">
        <f t="shared" si="0"/>
        <v>0.78000000000000114</v>
      </c>
      <c r="AE12" s="137">
        <f t="shared" si="1"/>
        <v>4.8103104011616438E-3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42781</v>
      </c>
      <c r="X13" s="10">
        <v>109.91</v>
      </c>
      <c r="Y13" s="10">
        <v>110.68</v>
      </c>
      <c r="Z13" s="10">
        <v>109.8</v>
      </c>
      <c r="AA13" s="10">
        <v>110.18</v>
      </c>
      <c r="AB13" s="94">
        <v>7033500</v>
      </c>
      <c r="AC13" s="10">
        <v>110.18</v>
      </c>
      <c r="AD13" s="2">
        <f t="shared" si="0"/>
        <v>0.88000000000000966</v>
      </c>
      <c r="AE13" s="137">
        <f t="shared" si="1"/>
        <v>-1.3595576905646167E-3</v>
      </c>
    </row>
    <row r="14" spans="1:31" x14ac:dyDescent="0.25">
      <c r="W14" s="132">
        <v>42780</v>
      </c>
      <c r="X14" s="10">
        <v>109.8</v>
      </c>
      <c r="Y14" s="10">
        <v>110.33</v>
      </c>
      <c r="Z14" s="10">
        <v>109.53</v>
      </c>
      <c r="AA14" s="10">
        <v>110.33</v>
      </c>
      <c r="AB14" s="94">
        <v>4764100</v>
      </c>
      <c r="AC14" s="10">
        <v>110.33</v>
      </c>
      <c r="AD14" s="2">
        <f t="shared" si="0"/>
        <v>0.79999999999999716</v>
      </c>
      <c r="AE14" s="137">
        <f t="shared" si="1"/>
        <v>6.2015503875967326E-3</v>
      </c>
    </row>
    <row r="15" spans="1:31" x14ac:dyDescent="0.25">
      <c r="W15" s="132">
        <v>42779</v>
      </c>
      <c r="X15" s="10">
        <v>108.95</v>
      </c>
      <c r="Y15" s="10">
        <v>109.9</v>
      </c>
      <c r="Z15" s="10">
        <v>108.9</v>
      </c>
      <c r="AA15" s="10">
        <v>109.65</v>
      </c>
      <c r="AB15" s="94">
        <v>5653200</v>
      </c>
      <c r="AC15" s="10">
        <v>109.65</v>
      </c>
      <c r="AD15" s="2">
        <f t="shared" si="0"/>
        <v>1</v>
      </c>
      <c r="AE15" s="137">
        <f t="shared" si="1"/>
        <v>3.5694673256452258E-3</v>
      </c>
    </row>
    <row r="16" spans="1:31" x14ac:dyDescent="0.25">
      <c r="W16" s="132">
        <v>42776</v>
      </c>
      <c r="X16" s="10">
        <v>109.35</v>
      </c>
      <c r="Y16" s="10">
        <v>109.8</v>
      </c>
      <c r="Z16" s="10">
        <v>108.58</v>
      </c>
      <c r="AA16" s="10">
        <v>109.26</v>
      </c>
      <c r="AB16" s="94">
        <v>6521300</v>
      </c>
      <c r="AC16" s="10">
        <v>109.26</v>
      </c>
      <c r="AD16" s="2">
        <f t="shared" si="0"/>
        <v>1.2199999999999989</v>
      </c>
      <c r="AE16" s="137">
        <f t="shared" si="1"/>
        <v>-2.1006484610466281E-3</v>
      </c>
    </row>
    <row r="17" spans="1:31" x14ac:dyDescent="0.25">
      <c r="W17" s="132">
        <v>42775</v>
      </c>
      <c r="X17" s="10">
        <v>109</v>
      </c>
      <c r="Y17" s="10">
        <v>109.85</v>
      </c>
      <c r="Z17" s="10">
        <v>109</v>
      </c>
      <c r="AA17" s="10">
        <v>109.49</v>
      </c>
      <c r="AB17" s="94">
        <v>6367500</v>
      </c>
      <c r="AC17" s="10">
        <v>109.49</v>
      </c>
      <c r="AD17" s="2">
        <f t="shared" si="0"/>
        <v>0.84999999999999432</v>
      </c>
      <c r="AE17" s="137">
        <f t="shared" si="1"/>
        <v>4.4954128440366503E-3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42774</v>
      </c>
      <c r="X18" s="10">
        <v>109.56</v>
      </c>
      <c r="Y18" s="10">
        <v>111.42</v>
      </c>
      <c r="Z18" s="10">
        <v>108.98</v>
      </c>
      <c r="AA18" s="10">
        <v>109</v>
      </c>
      <c r="AB18" s="94">
        <v>13611500</v>
      </c>
      <c r="AC18" s="10">
        <v>109</v>
      </c>
      <c r="AD18" s="2">
        <f t="shared" si="0"/>
        <v>2.4399999999999977</v>
      </c>
      <c r="AE18" s="137">
        <f t="shared" si="1"/>
        <v>0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109.65</v>
      </c>
      <c r="Y19" s="10">
        <v>109.73</v>
      </c>
      <c r="Z19" s="10">
        <v>108.77</v>
      </c>
      <c r="AA19" s="10">
        <v>109</v>
      </c>
      <c r="AB19" s="94">
        <v>9574800</v>
      </c>
      <c r="AC19" s="10">
        <v>109</v>
      </c>
      <c r="AD19" s="2">
        <f t="shared" si="0"/>
        <v>0.96000000000000796</v>
      </c>
      <c r="AE19" s="137">
        <f t="shared" si="1"/>
        <v>-5.2021538742356155E-3</v>
      </c>
    </row>
    <row r="20" spans="1:31" x14ac:dyDescent="0.25">
      <c r="W20" s="132">
        <v>42772</v>
      </c>
      <c r="X20" s="10">
        <v>109.92</v>
      </c>
      <c r="Y20" s="10">
        <v>110.15</v>
      </c>
      <c r="Z20" s="10">
        <v>109.3</v>
      </c>
      <c r="AA20" s="10">
        <v>109.57</v>
      </c>
      <c r="AB20" s="94">
        <v>6822600</v>
      </c>
      <c r="AC20" s="10">
        <v>109.57</v>
      </c>
      <c r="AD20" s="2">
        <f t="shared" si="0"/>
        <v>0.85000000000000853</v>
      </c>
      <c r="AE20" s="137">
        <f t="shared" si="1"/>
        <v>-6.6183136899365946E-3</v>
      </c>
    </row>
    <row r="21" spans="1:31" x14ac:dyDescent="0.25">
      <c r="W21" s="132">
        <v>42769</v>
      </c>
      <c r="X21" s="10">
        <v>110.9</v>
      </c>
      <c r="Y21" s="10">
        <v>111.15</v>
      </c>
      <c r="Z21" s="10">
        <v>110.21</v>
      </c>
      <c r="AA21" s="10">
        <v>110.3</v>
      </c>
      <c r="AB21" s="94">
        <v>7917700</v>
      </c>
      <c r="AC21" s="10">
        <v>110.3</v>
      </c>
      <c r="AD21" s="2">
        <f t="shared" si="0"/>
        <v>0.94000000000001194</v>
      </c>
      <c r="AE21" s="137">
        <f t="shared" si="1"/>
        <v>-2.8026399059759566E-3</v>
      </c>
    </row>
    <row r="22" spans="1:31" x14ac:dyDescent="0.25">
      <c r="W22" s="132">
        <v>42768</v>
      </c>
      <c r="X22" s="10">
        <v>111.21</v>
      </c>
      <c r="Y22" s="10">
        <v>111.54</v>
      </c>
      <c r="Z22" s="10">
        <v>110.55</v>
      </c>
      <c r="AA22" s="10">
        <v>110.61</v>
      </c>
      <c r="AB22" s="94">
        <v>6501200</v>
      </c>
      <c r="AC22" s="10">
        <v>110.61</v>
      </c>
      <c r="AD22" s="2">
        <f t="shared" si="0"/>
        <v>0.99000000000000909</v>
      </c>
      <c r="AE22" s="137">
        <f t="shared" si="1"/>
        <v>-6.1994609164420789E-3</v>
      </c>
    </row>
    <row r="23" spans="1:31" x14ac:dyDescent="0.25">
      <c r="W23" s="132">
        <v>42767</v>
      </c>
      <c r="X23" s="10">
        <v>110.71</v>
      </c>
      <c r="Y23" s="10">
        <v>111.99</v>
      </c>
      <c r="Z23" s="10">
        <v>110.68</v>
      </c>
      <c r="AA23" s="10">
        <v>111.3</v>
      </c>
      <c r="AB23" s="94">
        <v>10489600</v>
      </c>
      <c r="AC23" s="10">
        <v>111.3</v>
      </c>
      <c r="AD23" s="2">
        <f t="shared" si="0"/>
        <v>1.3099999999999881</v>
      </c>
      <c r="AE23" s="137">
        <f t="shared" si="1"/>
        <v>5.8743786714865465E-3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110.59</v>
      </c>
      <c r="Y24" s="10">
        <v>110.8</v>
      </c>
      <c r="Z24" s="10">
        <v>109.98</v>
      </c>
      <c r="AA24" s="10">
        <v>110.65</v>
      </c>
      <c r="AB24" s="94">
        <v>8395300</v>
      </c>
      <c r="AC24" s="10">
        <v>110.65</v>
      </c>
      <c r="AD24" s="2">
        <f t="shared" si="0"/>
        <v>0.81999999999999318</v>
      </c>
      <c r="AE24" s="137">
        <f t="shared" si="1"/>
        <v>-2.614025599423031E-3</v>
      </c>
    </row>
    <row r="25" spans="1:31" x14ac:dyDescent="0.25">
      <c r="B25" s="192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0"/>
      <c r="I25" s="40"/>
      <c r="W25" s="132">
        <v>42765</v>
      </c>
      <c r="X25" s="10">
        <v>109.86</v>
      </c>
      <c r="Y25" s="10">
        <v>111.05</v>
      </c>
      <c r="Z25" s="10">
        <v>108.96</v>
      </c>
      <c r="AA25" s="10">
        <v>110.94</v>
      </c>
      <c r="AB25" s="94">
        <v>13765200</v>
      </c>
      <c r="AC25" s="10">
        <v>110.94</v>
      </c>
      <c r="AD25" s="2">
        <f t="shared" si="0"/>
        <v>2.0900000000000034</v>
      </c>
      <c r="AE25" s="137">
        <f t="shared" si="1"/>
        <v>1.5004574565416373E-2</v>
      </c>
    </row>
    <row r="26" spans="1:31" x14ac:dyDescent="0.25">
      <c r="B26" s="192">
        <v>42374</v>
      </c>
      <c r="C26" s="259">
        <v>25</v>
      </c>
      <c r="D26" s="235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0">
        <f>(E26-D26)/D26</f>
        <v>1.5131393617449444E-2</v>
      </c>
      <c r="I26" s="40"/>
      <c r="W26" s="132">
        <v>42762</v>
      </c>
      <c r="X26" s="10">
        <v>108.49</v>
      </c>
      <c r="Y26" s="10">
        <v>109.4</v>
      </c>
      <c r="Z26" s="10">
        <v>108.15</v>
      </c>
      <c r="AA26" s="10">
        <v>109.3</v>
      </c>
      <c r="AB26" s="94">
        <v>5534500</v>
      </c>
      <c r="AC26" s="10">
        <v>109.3</v>
      </c>
      <c r="AD26" s="2">
        <f t="shared" si="0"/>
        <v>1.25</v>
      </c>
      <c r="AE26" s="137">
        <f t="shared" si="1"/>
        <v>1.1475106422357939E-2</v>
      </c>
    </row>
    <row r="27" spans="1:31" x14ac:dyDescent="0.25">
      <c r="B27" s="192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30">
        <f>(E27-D27)/D27</f>
        <v>-4.2818624491931266E-2</v>
      </c>
      <c r="I27" s="40"/>
      <c r="W27" s="132">
        <v>42761</v>
      </c>
      <c r="X27" s="10">
        <v>108.21</v>
      </c>
      <c r="Y27" s="10">
        <v>108.62</v>
      </c>
      <c r="Z27" s="10">
        <v>107.98</v>
      </c>
      <c r="AA27" s="10">
        <v>108.06</v>
      </c>
      <c r="AB27" s="94">
        <v>6079100</v>
      </c>
      <c r="AC27" s="10">
        <v>108.06</v>
      </c>
      <c r="AD27" s="2">
        <f t="shared" si="0"/>
        <v>0.64000000000000057</v>
      </c>
      <c r="AE27" s="137">
        <f t="shared" si="1"/>
        <v>1.8511662347275859E-4</v>
      </c>
    </row>
    <row r="28" spans="1:31" x14ac:dyDescent="0.25">
      <c r="B28" s="192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30">
        <f t="shared" ref="H28:H36" si="3">(E28-D28)/D28</f>
        <v>-3.346973035358302E-2</v>
      </c>
      <c r="I28" s="40"/>
      <c r="W28" s="132">
        <v>42760</v>
      </c>
      <c r="X28" s="10">
        <v>108.23</v>
      </c>
      <c r="Y28" s="10">
        <v>108.42</v>
      </c>
      <c r="Z28" s="10">
        <v>108</v>
      </c>
      <c r="AA28" s="10">
        <v>108.04</v>
      </c>
      <c r="AB28" s="94">
        <v>6169400</v>
      </c>
      <c r="AC28" s="10">
        <v>108.04</v>
      </c>
      <c r="AD28" s="2">
        <f t="shared" si="0"/>
        <v>0.42000000000000171</v>
      </c>
      <c r="AE28" s="137">
        <f t="shared" si="1"/>
        <v>1.2974976830397722E-3</v>
      </c>
    </row>
    <row r="29" spans="1:31" x14ac:dyDescent="0.25">
      <c r="B29" s="192">
        <v>42416</v>
      </c>
      <c r="C29" s="259">
        <v>25</v>
      </c>
      <c r="D29" s="235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30">
        <f t="shared" si="3"/>
        <v>-4.5956110261602609E-2</v>
      </c>
      <c r="I29" s="40"/>
      <c r="W29" s="132">
        <v>42759</v>
      </c>
      <c r="X29" s="10">
        <v>107.2</v>
      </c>
      <c r="Y29" s="10">
        <v>108.06</v>
      </c>
      <c r="Z29" s="10">
        <v>107.08</v>
      </c>
      <c r="AA29" s="10">
        <v>107.9</v>
      </c>
      <c r="AB29" s="94">
        <v>5435800</v>
      </c>
      <c r="AC29" s="10">
        <v>107.9</v>
      </c>
      <c r="AD29" s="2">
        <f t="shared" si="0"/>
        <v>0.98000000000000398</v>
      </c>
      <c r="AE29" s="137">
        <f t="shared" si="1"/>
        <v>7.2815533980583602E-3</v>
      </c>
    </row>
    <row r="30" spans="1:31" x14ac:dyDescent="0.25">
      <c r="B30" s="192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30">
        <f t="shared" si="3"/>
        <v>-1.8370045873455299E-2</v>
      </c>
      <c r="I30" s="40"/>
      <c r="W30" s="132">
        <v>42758</v>
      </c>
      <c r="X30" s="10">
        <v>107.34</v>
      </c>
      <c r="Y30" s="10">
        <v>107.68</v>
      </c>
      <c r="Z30" s="10">
        <v>106.57</v>
      </c>
      <c r="AA30" s="10">
        <v>107.12</v>
      </c>
      <c r="AB30" s="94">
        <v>5666600</v>
      </c>
      <c r="AC30" s="10">
        <v>107.12</v>
      </c>
      <c r="AD30" s="2">
        <f t="shared" si="0"/>
        <v>1.1100000000000136</v>
      </c>
      <c r="AE30" s="137">
        <f t="shared" si="1"/>
        <v>-5.0157904514210871E-3</v>
      </c>
    </row>
    <row r="31" spans="1:31" x14ac:dyDescent="0.25">
      <c r="B31" s="192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30">
        <f t="shared" si="3"/>
        <v>8.9060627350498918E-3</v>
      </c>
      <c r="I31" s="40"/>
      <c r="W31" s="132">
        <v>42755</v>
      </c>
      <c r="X31" s="10">
        <v>107.35</v>
      </c>
      <c r="Y31" s="10">
        <v>107.82</v>
      </c>
      <c r="Z31" s="10">
        <v>107.18</v>
      </c>
      <c r="AA31" s="10">
        <v>107.66</v>
      </c>
      <c r="AB31" s="94">
        <v>5534800</v>
      </c>
      <c r="AC31" s="10">
        <v>107.66</v>
      </c>
      <c r="AD31" s="2">
        <f t="shared" si="0"/>
        <v>0.63999999999998636</v>
      </c>
      <c r="AE31" s="137">
        <f t="shared" si="1"/>
        <v>3.5421327367635147E-3</v>
      </c>
    </row>
    <row r="32" spans="1:31" x14ac:dyDescent="0.25">
      <c r="B32" s="192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30">
        <f t="shared" si="3"/>
        <v>2.4924680434270562E-2</v>
      </c>
      <c r="I32" s="40"/>
      <c r="W32" s="132">
        <v>42754</v>
      </c>
      <c r="X32" s="10">
        <v>107.92</v>
      </c>
      <c r="Y32" s="10">
        <v>108.01</v>
      </c>
      <c r="Z32" s="10">
        <v>107.08</v>
      </c>
      <c r="AA32" s="10">
        <v>107.28</v>
      </c>
      <c r="AB32" s="94">
        <v>5348900</v>
      </c>
      <c r="AC32" s="10">
        <v>107.28</v>
      </c>
      <c r="AD32" s="2">
        <f t="shared" si="0"/>
        <v>0.93000000000000682</v>
      </c>
      <c r="AE32" s="137">
        <f t="shared" si="1"/>
        <v>-8.1360946745561158E-3</v>
      </c>
    </row>
    <row r="33" spans="2:31" x14ac:dyDescent="0.25">
      <c r="B33" s="192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30">
        <f t="shared" si="3"/>
        <v>-5.3477924858143155E-3</v>
      </c>
      <c r="I33" s="40"/>
      <c r="W33" s="132">
        <v>42753</v>
      </c>
      <c r="X33" s="10">
        <v>106.93</v>
      </c>
      <c r="Y33" s="10">
        <v>108.4</v>
      </c>
      <c r="Z33" s="10">
        <v>106.81</v>
      </c>
      <c r="AA33" s="10">
        <v>108.16</v>
      </c>
      <c r="AB33" s="94">
        <v>7162000</v>
      </c>
      <c r="AC33" s="10">
        <v>108.16</v>
      </c>
      <c r="AD33" s="2">
        <f t="shared" si="0"/>
        <v>1.5900000000000034</v>
      </c>
      <c r="AE33" s="137">
        <f t="shared" si="1"/>
        <v>1.7597480781699204E-3</v>
      </c>
    </row>
    <row r="34" spans="2:31" x14ac:dyDescent="0.25">
      <c r="B34" s="192">
        <v>42482</v>
      </c>
      <c r="C34" s="236">
        <v>15</v>
      </c>
      <c r="D34" s="237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30">
        <f t="shared" si="3"/>
        <v>0.12515459891075559</v>
      </c>
      <c r="I34" s="40"/>
      <c r="W34" s="132">
        <v>42752</v>
      </c>
      <c r="X34" s="10">
        <v>107.91</v>
      </c>
      <c r="Y34" s="10">
        <v>108.93</v>
      </c>
      <c r="Z34" s="10">
        <v>107.65</v>
      </c>
      <c r="AA34" s="10">
        <v>107.97</v>
      </c>
      <c r="AB34" s="94">
        <v>7583100</v>
      </c>
      <c r="AC34" s="10">
        <v>107.97</v>
      </c>
      <c r="AD34" s="2">
        <f t="shared" si="0"/>
        <v>1.2800000000000011</v>
      </c>
      <c r="AE34" s="137">
        <f t="shared" si="1"/>
        <v>-8.3287062742920526E-4</v>
      </c>
    </row>
    <row r="35" spans="2:31" x14ac:dyDescent="0.25">
      <c r="B35" s="192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30">
        <f t="shared" si="3"/>
        <v>0.14500835376570398</v>
      </c>
      <c r="I35" s="40"/>
      <c r="W35" s="132">
        <v>42748</v>
      </c>
      <c r="X35" s="10">
        <v>107.16</v>
      </c>
      <c r="Y35" s="10">
        <v>108.35</v>
      </c>
      <c r="Z35" s="10">
        <v>106.9</v>
      </c>
      <c r="AA35" s="10">
        <v>108.06</v>
      </c>
      <c r="AB35" s="94">
        <v>6467200</v>
      </c>
      <c r="AC35" s="10">
        <v>108.06</v>
      </c>
      <c r="AD35" s="2">
        <f t="shared" si="0"/>
        <v>1.4499999999999886</v>
      </c>
      <c r="AE35" s="137">
        <f t="shared" si="1"/>
        <v>4.9288570631451645E-3</v>
      </c>
    </row>
    <row r="36" spans="2:31" x14ac:dyDescent="0.25">
      <c r="B36" s="192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30">
        <f t="shared" si="3"/>
        <v>0.10345650617310724</v>
      </c>
      <c r="I36" s="40"/>
      <c r="W36" s="132">
        <v>42747</v>
      </c>
      <c r="X36" s="10">
        <v>108.12</v>
      </c>
      <c r="Y36" s="10">
        <v>109</v>
      </c>
      <c r="Z36" s="10">
        <v>107.43</v>
      </c>
      <c r="AA36" s="10">
        <v>107.53</v>
      </c>
      <c r="AB36" s="94">
        <v>8201600</v>
      </c>
      <c r="AC36" s="10">
        <v>107.53</v>
      </c>
      <c r="AD36" s="2">
        <f t="shared" si="0"/>
        <v>1.5699999999999932</v>
      </c>
      <c r="AE36" s="137">
        <f t="shared" si="1"/>
        <v>-1.74524853801169E-2</v>
      </c>
    </row>
    <row r="37" spans="2:31" x14ac:dyDescent="0.25">
      <c r="B37" s="192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30">
        <f t="shared" ref="H37:H42" si="7">(E37-D37)/D37</f>
        <v>3.8470718423850456E-2</v>
      </c>
      <c r="I37" s="40"/>
      <c r="W37" s="132">
        <v>42746</v>
      </c>
      <c r="X37" s="10">
        <v>108.54</v>
      </c>
      <c r="Y37" s="10">
        <v>109.49</v>
      </c>
      <c r="Z37" s="10">
        <v>108.38</v>
      </c>
      <c r="AA37" s="10">
        <v>109.44</v>
      </c>
      <c r="AB37" s="94">
        <v>7590400</v>
      </c>
      <c r="AC37" s="10">
        <v>109.44</v>
      </c>
      <c r="AD37" s="2">
        <f t="shared" si="0"/>
        <v>1.1099999999999994</v>
      </c>
      <c r="AE37" s="137">
        <f t="shared" si="1"/>
        <v>9.7804022882450603E-3</v>
      </c>
    </row>
    <row r="38" spans="2:31" x14ac:dyDescent="0.25">
      <c r="B38" s="192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30">
        <f t="shared" si="7"/>
        <v>8.4687655955041519E-2</v>
      </c>
      <c r="I38" s="40"/>
      <c r="W38" s="132">
        <v>42745</v>
      </c>
      <c r="X38" s="10">
        <v>107.9</v>
      </c>
      <c r="Y38" s="10">
        <v>108.82</v>
      </c>
      <c r="Z38" s="10">
        <v>107.35</v>
      </c>
      <c r="AA38" s="10">
        <v>108.38</v>
      </c>
      <c r="AB38" s="94">
        <v>7893600</v>
      </c>
      <c r="AC38" s="10">
        <v>108.38</v>
      </c>
      <c r="AD38" s="2">
        <f t="shared" si="0"/>
        <v>1.4699999999999989</v>
      </c>
      <c r="AE38" s="137">
        <f t="shared" si="1"/>
        <v>1.8456995201177051E-4</v>
      </c>
    </row>
    <row r="39" spans="2:31" x14ac:dyDescent="0.25">
      <c r="B39" s="192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30">
        <f t="shared" si="7"/>
        <v>7.9154642306941136E-2</v>
      </c>
      <c r="I39" s="40"/>
      <c r="W39" s="132">
        <v>42744</v>
      </c>
      <c r="X39" s="10">
        <v>108.58</v>
      </c>
      <c r="Y39" s="10">
        <v>108.83</v>
      </c>
      <c r="Z39" s="10">
        <v>108.11</v>
      </c>
      <c r="AA39" s="10">
        <v>108.36</v>
      </c>
      <c r="AB39" s="94">
        <v>6193400</v>
      </c>
      <c r="AC39" s="10">
        <v>108.36</v>
      </c>
      <c r="AD39" s="2">
        <f t="shared" si="0"/>
        <v>0.71999999999999886</v>
      </c>
      <c r="AE39" s="137">
        <f t="shared" si="1"/>
        <v>-5.6891172692237202E-3</v>
      </c>
    </row>
    <row r="40" spans="2:31" ht="20.25" thickBot="1" x14ac:dyDescent="0.35">
      <c r="B40" s="192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30">
        <f t="shared" si="7"/>
        <v>6.55933343459109E-2</v>
      </c>
      <c r="I40" s="40"/>
      <c r="O40" s="703" t="s">
        <v>78</v>
      </c>
      <c r="P40" s="703"/>
      <c r="W40" s="132">
        <v>42741</v>
      </c>
      <c r="X40" s="10">
        <v>108.02</v>
      </c>
      <c r="Y40" s="10">
        <v>109.35</v>
      </c>
      <c r="Z40" s="10">
        <v>107.75</v>
      </c>
      <c r="AA40" s="10">
        <v>108.98</v>
      </c>
      <c r="AB40" s="94">
        <v>9263300</v>
      </c>
      <c r="AC40" s="10">
        <v>108.98</v>
      </c>
      <c r="AD40" s="2">
        <f t="shared" si="0"/>
        <v>1.5999999999999943</v>
      </c>
      <c r="AE40" s="137">
        <f t="shared" si="1"/>
        <v>1.4900353883404716E-2</v>
      </c>
    </row>
    <row r="41" spans="2:31" ht="15.75" thickTop="1" x14ac:dyDescent="0.25">
      <c r="B41" s="192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30">
        <f t="shared" si="7"/>
        <v>6.0060320697810518E-2</v>
      </c>
      <c r="I41" s="40"/>
      <c r="O41" s="82">
        <v>1.1000000000000001</v>
      </c>
      <c r="P41" s="82">
        <f>O41*$Q$4</f>
        <v>122.01200000000001</v>
      </c>
      <c r="Q41" s="2"/>
      <c r="W41" s="132">
        <v>42740</v>
      </c>
      <c r="X41" s="10">
        <v>107.17</v>
      </c>
      <c r="Y41" s="10">
        <v>107.62</v>
      </c>
      <c r="Z41" s="10">
        <v>106.79</v>
      </c>
      <c r="AA41" s="10">
        <v>107.38</v>
      </c>
      <c r="AB41" s="94">
        <v>6292500</v>
      </c>
      <c r="AC41" s="10">
        <v>107.38</v>
      </c>
      <c r="AD41" s="2">
        <f t="shared" si="0"/>
        <v>0.82999999999999829</v>
      </c>
      <c r="AE41" s="137">
        <f t="shared" si="1"/>
        <v>-5.5845122859277119E-4</v>
      </c>
    </row>
    <row r="42" spans="2:31" ht="20.25" thickBot="1" x14ac:dyDescent="0.35">
      <c r="B42" s="192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30">
        <f t="shared" si="7"/>
        <v>5.6588625859786856E-2</v>
      </c>
      <c r="I42" s="40"/>
      <c r="O42" s="82">
        <v>1.0900000000000001</v>
      </c>
      <c r="P42" s="82">
        <f t="shared" ref="P42:P61" si="8">O42*$Q$4</f>
        <v>120.90280000000001</v>
      </c>
      <c r="Q42" s="2"/>
      <c r="T42" s="90" t="s">
        <v>113</v>
      </c>
      <c r="W42" s="132">
        <v>42739</v>
      </c>
      <c r="X42" s="10">
        <v>106.64</v>
      </c>
      <c r="Y42" s="10">
        <v>107.5</v>
      </c>
      <c r="Z42" s="10">
        <v>106.25</v>
      </c>
      <c r="AA42" s="10">
        <v>107.44</v>
      </c>
      <c r="AB42" s="94">
        <v>8231900</v>
      </c>
      <c r="AC42" s="10">
        <v>107.44</v>
      </c>
      <c r="AD42" s="2">
        <f t="shared" si="0"/>
        <v>1.25</v>
      </c>
      <c r="AE42" s="137">
        <f t="shared" si="1"/>
        <v>1.2820512820512775E-2</v>
      </c>
    </row>
    <row r="43" spans="2:31" ht="15.75" thickTop="1" x14ac:dyDescent="0.25">
      <c r="B43" s="192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30">
        <f t="shared" ref="H43:H65" si="11">(E43-D43)/D43</f>
        <v>4.8994293401609899E-2</v>
      </c>
      <c r="I43" s="40"/>
      <c r="O43" s="82">
        <v>1.08</v>
      </c>
      <c r="P43" s="82">
        <f t="shared" si="8"/>
        <v>119.79360000000001</v>
      </c>
      <c r="Q43" s="2"/>
      <c r="T43" s="127" t="s">
        <v>98</v>
      </c>
      <c r="U43" s="97">
        <v>110.59</v>
      </c>
      <c r="W43" s="132">
        <v>42738</v>
      </c>
      <c r="X43" s="10">
        <v>105.3</v>
      </c>
      <c r="Y43" s="10">
        <v>106.9</v>
      </c>
      <c r="Z43" s="10">
        <v>105.21</v>
      </c>
      <c r="AA43" s="10">
        <v>106.08</v>
      </c>
      <c r="AB43" s="94">
        <v>8872900</v>
      </c>
      <c r="AC43" s="10">
        <v>106.08</v>
      </c>
      <c r="AD43" s="2">
        <f t="shared" si="0"/>
        <v>1.6900000000000119</v>
      </c>
      <c r="AE43" s="137">
        <f t="shared" si="1"/>
        <v>1.7846862406447839E-2</v>
      </c>
    </row>
    <row r="44" spans="2:31" x14ac:dyDescent="0.25">
      <c r="B44" s="192">
        <v>42579</v>
      </c>
      <c r="C44" s="236">
        <v>15</v>
      </c>
      <c r="D44" s="237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30">
        <f t="shared" si="11"/>
        <v>4.8609288900551016E-2</v>
      </c>
      <c r="I44" s="40" t="s">
        <v>188</v>
      </c>
      <c r="O44" s="82">
        <v>1.07</v>
      </c>
      <c r="P44" s="82">
        <f t="shared" si="8"/>
        <v>118.68440000000001</v>
      </c>
      <c r="Q44" s="2"/>
      <c r="T44" s="92" t="s">
        <v>99</v>
      </c>
      <c r="U44" s="87">
        <v>110.34</v>
      </c>
      <c r="W44" s="132">
        <v>42734</v>
      </c>
      <c r="X44" s="10">
        <v>104.57</v>
      </c>
      <c r="Y44" s="10">
        <v>105</v>
      </c>
      <c r="Z44" s="10">
        <v>103.96</v>
      </c>
      <c r="AA44" s="10">
        <v>104.22</v>
      </c>
      <c r="AB44" s="94">
        <v>6629500</v>
      </c>
      <c r="AC44" s="10">
        <v>104.22</v>
      </c>
      <c r="AD44" s="2">
        <f t="shared" si="0"/>
        <v>1.0400000000000063</v>
      </c>
      <c r="AE44" s="137">
        <f t="shared" si="1"/>
        <v>-3.2517214996174992E-3</v>
      </c>
    </row>
    <row r="45" spans="2:31" x14ac:dyDescent="0.25">
      <c r="B45" s="192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30">
        <f t="shared" si="11"/>
        <v>2.1336882325162062E-2</v>
      </c>
      <c r="I45" s="40"/>
      <c r="O45" s="82">
        <v>1.06</v>
      </c>
      <c r="P45" s="82">
        <f t="shared" si="8"/>
        <v>117.57520000000001</v>
      </c>
      <c r="Q45" s="2"/>
      <c r="T45" s="92" t="s">
        <v>100</v>
      </c>
      <c r="U45" s="87" t="s">
        <v>129</v>
      </c>
      <c r="W45" s="132">
        <v>42733</v>
      </c>
      <c r="X45" s="10">
        <v>104.23</v>
      </c>
      <c r="Y45" s="10">
        <v>104.77</v>
      </c>
      <c r="Z45" s="10">
        <v>103.87</v>
      </c>
      <c r="AA45" s="10">
        <v>104.56</v>
      </c>
      <c r="AB45" s="94">
        <v>5892000</v>
      </c>
      <c r="AC45" s="10">
        <v>104.56</v>
      </c>
      <c r="AD45" s="2">
        <f t="shared" si="0"/>
        <v>0.89999999999999147</v>
      </c>
      <c r="AE45" s="137">
        <f t="shared" si="1"/>
        <v>2.4928092042186822E-3</v>
      </c>
    </row>
    <row r="46" spans="2:31" x14ac:dyDescent="0.25">
      <c r="B46" s="192">
        <v>42593</v>
      </c>
      <c r="C46" s="236">
        <v>15</v>
      </c>
      <c r="D46" s="237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30">
        <f t="shared" si="11"/>
        <v>0.10618768792530471</v>
      </c>
      <c r="I46" s="40"/>
      <c r="O46" s="82">
        <v>1.05</v>
      </c>
      <c r="P46" s="82">
        <f t="shared" si="8"/>
        <v>116.46600000000001</v>
      </c>
      <c r="Q46" s="2"/>
      <c r="T46" s="92" t="s">
        <v>101</v>
      </c>
      <c r="U46" s="87" t="s">
        <v>129</v>
      </c>
      <c r="W46" s="132">
        <v>42732</v>
      </c>
      <c r="X46" s="10">
        <v>104.99</v>
      </c>
      <c r="Y46" s="10">
        <v>105.32</v>
      </c>
      <c r="Z46" s="10">
        <v>104.06</v>
      </c>
      <c r="AA46" s="10">
        <v>104.3</v>
      </c>
      <c r="AB46" s="94">
        <v>5116200</v>
      </c>
      <c r="AC46" s="10">
        <v>104.3</v>
      </c>
      <c r="AD46" s="2">
        <f t="shared" si="0"/>
        <v>1.2599999999999909</v>
      </c>
      <c r="AE46" s="137">
        <f t="shared" si="1"/>
        <v>-8.2723210040887007E-3</v>
      </c>
    </row>
    <row r="47" spans="2:31" x14ac:dyDescent="0.25">
      <c r="B47" s="192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30">
        <f t="shared" si="11"/>
        <v>4.7939735370933899E-2</v>
      </c>
      <c r="I47" s="40"/>
      <c r="O47" s="82">
        <v>1.04</v>
      </c>
      <c r="P47" s="82">
        <f t="shared" si="8"/>
        <v>115.35680000000001</v>
      </c>
      <c r="Q47" s="2"/>
      <c r="T47" s="92" t="s">
        <v>102</v>
      </c>
      <c r="U47" s="87">
        <v>116.69</v>
      </c>
      <c r="W47" s="132">
        <v>42731</v>
      </c>
      <c r="X47" s="10">
        <v>104.85</v>
      </c>
      <c r="Y47" s="10">
        <v>105.56</v>
      </c>
      <c r="Z47" s="10">
        <v>104.78</v>
      </c>
      <c r="AA47" s="10">
        <v>105.17</v>
      </c>
      <c r="AB47" s="94">
        <v>3634300</v>
      </c>
      <c r="AC47" s="10">
        <v>105.17</v>
      </c>
      <c r="AD47" s="2">
        <f t="shared" si="0"/>
        <v>0.78000000000000114</v>
      </c>
      <c r="AE47" s="137">
        <f t="shared" si="1"/>
        <v>1.9020446980499983E-4</v>
      </c>
    </row>
    <row r="48" spans="2:31" x14ac:dyDescent="0.25">
      <c r="B48" s="192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30">
        <f t="shared" si="11"/>
        <v>4.3083166051501268E-2</v>
      </c>
      <c r="I48" s="40"/>
      <c r="O48" s="82">
        <v>1.03</v>
      </c>
      <c r="P48" s="82">
        <f t="shared" si="8"/>
        <v>114.24760000000001</v>
      </c>
      <c r="Q48" s="2"/>
      <c r="T48" s="92" t="s">
        <v>103</v>
      </c>
      <c r="U48" s="87">
        <v>1.3306800000000001</v>
      </c>
      <c r="W48" s="132">
        <v>42727</v>
      </c>
      <c r="X48" s="10">
        <v>105.24</v>
      </c>
      <c r="Y48" s="10">
        <v>105.34</v>
      </c>
      <c r="Z48" s="10">
        <v>104.75</v>
      </c>
      <c r="AA48" s="10">
        <v>105.15</v>
      </c>
      <c r="AB48" s="94">
        <v>3231000</v>
      </c>
      <c r="AC48" s="10">
        <v>105.15</v>
      </c>
      <c r="AD48" s="2">
        <f t="shared" si="0"/>
        <v>0.59000000000000341</v>
      </c>
      <c r="AE48" s="137">
        <f t="shared" si="1"/>
        <v>-2.5611838360841688E-3</v>
      </c>
    </row>
    <row r="49" spans="2:31" x14ac:dyDescent="0.25">
      <c r="B49" s="192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30">
        <f t="shared" si="11"/>
        <v>3.4665112564484485E-2</v>
      </c>
      <c r="I49" s="40"/>
      <c r="O49" s="82">
        <v>1.02</v>
      </c>
      <c r="P49" s="82">
        <f t="shared" si="8"/>
        <v>113.1384</v>
      </c>
      <c r="Q49" s="2"/>
      <c r="T49" s="92" t="s">
        <v>122</v>
      </c>
      <c r="U49" s="87" t="s">
        <v>478</v>
      </c>
      <c r="W49" s="132">
        <v>42726</v>
      </c>
      <c r="X49" s="10">
        <v>104.96</v>
      </c>
      <c r="Y49" s="10">
        <v>105.49</v>
      </c>
      <c r="Z49" s="10">
        <v>104.7</v>
      </c>
      <c r="AA49" s="10">
        <v>105.42</v>
      </c>
      <c r="AB49" s="94">
        <v>5230800</v>
      </c>
      <c r="AC49" s="10">
        <v>105.42</v>
      </c>
      <c r="AD49" s="2">
        <f t="shared" si="0"/>
        <v>0.78999999999999204</v>
      </c>
      <c r="AE49" s="137">
        <f t="shared" si="1"/>
        <v>-1.3262599469495706E-3</v>
      </c>
    </row>
    <row r="50" spans="2:31" x14ac:dyDescent="0.25">
      <c r="B50" s="192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30">
        <f t="shared" si="11"/>
        <v>3.1211552159554446E-2</v>
      </c>
      <c r="I50" s="40"/>
      <c r="O50" s="82">
        <v>1.01</v>
      </c>
      <c r="P50" s="82">
        <f t="shared" si="8"/>
        <v>112.0292</v>
      </c>
      <c r="Q50" s="2"/>
      <c r="T50" s="92"/>
      <c r="U50" s="87"/>
      <c r="W50" s="132">
        <v>42725</v>
      </c>
      <c r="X50" s="10">
        <v>104.61</v>
      </c>
      <c r="Y50" s="10">
        <v>105.91</v>
      </c>
      <c r="Z50" s="10">
        <v>104.51</v>
      </c>
      <c r="AA50" s="10">
        <v>105.56</v>
      </c>
      <c r="AB50" s="94">
        <v>5202400</v>
      </c>
      <c r="AC50" s="10">
        <v>105.56</v>
      </c>
      <c r="AD50" s="2">
        <f t="shared" si="0"/>
        <v>1.3999999999999915</v>
      </c>
      <c r="AE50" s="137">
        <f t="shared" si="1"/>
        <v>9.4822681585449153E-4</v>
      </c>
    </row>
    <row r="51" spans="2:31" x14ac:dyDescent="0.25">
      <c r="B51" s="192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30">
        <f t="shared" si="11"/>
        <v>1.4309602316222615E-2</v>
      </c>
      <c r="I51" s="40"/>
      <c r="O51" s="82">
        <v>1</v>
      </c>
      <c r="P51" s="82">
        <f t="shared" si="8"/>
        <v>110.92</v>
      </c>
      <c r="Q51" s="2"/>
      <c r="T51" s="92" t="s">
        <v>105</v>
      </c>
      <c r="U51" s="87" t="s">
        <v>712</v>
      </c>
      <c r="W51" s="132">
        <v>42724</v>
      </c>
      <c r="X51" s="10">
        <v>105.64</v>
      </c>
      <c r="Y51" s="10">
        <v>106.2</v>
      </c>
      <c r="Z51" s="10">
        <v>105.06</v>
      </c>
      <c r="AA51" s="10">
        <v>105.46</v>
      </c>
      <c r="AB51" s="94">
        <v>8947300</v>
      </c>
      <c r="AC51" s="10">
        <v>105.46</v>
      </c>
      <c r="AD51" s="2">
        <f t="shared" si="0"/>
        <v>1.1400000000000006</v>
      </c>
      <c r="AE51" s="137">
        <f t="shared" si="1"/>
        <v>1.5194681861347981E-3</v>
      </c>
    </row>
    <row r="52" spans="2:31" x14ac:dyDescent="0.25">
      <c r="B52" s="192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30">
        <f t="shared" si="11"/>
        <v>9.4983941256217615E-3</v>
      </c>
      <c r="I52" s="40"/>
      <c r="O52" s="82">
        <v>0.99</v>
      </c>
      <c r="P52" s="82">
        <f t="shared" si="8"/>
        <v>109.8108</v>
      </c>
      <c r="Q52" s="2"/>
      <c r="T52" s="92" t="s">
        <v>106</v>
      </c>
      <c r="U52" s="87" t="s">
        <v>474</v>
      </c>
      <c r="W52" s="132">
        <v>42723</v>
      </c>
      <c r="X52" s="10">
        <v>105.7</v>
      </c>
      <c r="Y52" s="10">
        <v>106.26</v>
      </c>
      <c r="Z52" s="10">
        <v>105.07</v>
      </c>
      <c r="AA52" s="10">
        <v>105.3</v>
      </c>
      <c r="AB52" s="94">
        <v>11475600</v>
      </c>
      <c r="AC52" s="10">
        <v>105.3</v>
      </c>
      <c r="AD52" s="2">
        <f t="shared" si="0"/>
        <v>1.1900000000000119</v>
      </c>
      <c r="AE52" s="137">
        <f t="shared" si="1"/>
        <v>1.3376960831488871E-2</v>
      </c>
    </row>
    <row r="53" spans="2:31" x14ac:dyDescent="0.25">
      <c r="B53" s="192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30">
        <f t="shared" si="11"/>
        <v>2.8696183963494663E-3</v>
      </c>
      <c r="I53" s="40"/>
      <c r="O53" s="82">
        <v>0.98</v>
      </c>
      <c r="P53" s="82">
        <f t="shared" si="8"/>
        <v>108.7016</v>
      </c>
      <c r="Q53" s="2"/>
      <c r="T53" s="92" t="s">
        <v>107</v>
      </c>
      <c r="U53" s="89">
        <v>5843886</v>
      </c>
      <c r="W53" s="132">
        <v>42720</v>
      </c>
      <c r="X53" s="10">
        <v>104.71</v>
      </c>
      <c r="Y53" s="10">
        <v>104.73</v>
      </c>
      <c r="Z53" s="10">
        <v>103.75</v>
      </c>
      <c r="AA53" s="10">
        <v>103.91</v>
      </c>
      <c r="AB53" s="94">
        <v>12635500</v>
      </c>
      <c r="AC53" s="10">
        <v>103.91</v>
      </c>
      <c r="AD53" s="2">
        <f t="shared" si="0"/>
        <v>0.98000000000000398</v>
      </c>
      <c r="AE53" s="137">
        <f t="shared" si="1"/>
        <v>-4.5981415844429385E-3</v>
      </c>
    </row>
    <row r="54" spans="2:31" x14ac:dyDescent="0.25">
      <c r="B54" s="192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30">
        <f t="shared" si="11"/>
        <v>1.9073767582292653E-3</v>
      </c>
      <c r="I54" s="40"/>
      <c r="O54" s="82">
        <v>0.97</v>
      </c>
      <c r="P54" s="82">
        <f t="shared" si="8"/>
        <v>107.5924</v>
      </c>
      <c r="T54" s="92" t="s">
        <v>110</v>
      </c>
      <c r="U54" s="89">
        <v>7472470</v>
      </c>
      <c r="W54" s="132">
        <v>42719</v>
      </c>
      <c r="X54" s="10">
        <v>103.85</v>
      </c>
      <c r="Y54" s="10">
        <v>105.64</v>
      </c>
      <c r="Z54" s="10">
        <v>103.82</v>
      </c>
      <c r="AA54" s="10">
        <v>104.39</v>
      </c>
      <c r="AB54" s="94">
        <v>8745400</v>
      </c>
      <c r="AC54" s="10">
        <v>104.39</v>
      </c>
      <c r="AD54" s="2">
        <f t="shared" si="0"/>
        <v>1.8200000000000074</v>
      </c>
      <c r="AE54" s="137">
        <f t="shared" si="1"/>
        <v>3.2676597789524919E-3</v>
      </c>
    </row>
    <row r="55" spans="2:31" x14ac:dyDescent="0.25">
      <c r="B55" s="192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30">
        <f t="shared" si="11"/>
        <v>5.9701747858478416E-3</v>
      </c>
      <c r="I55" s="40"/>
      <c r="O55" s="82">
        <v>0.96</v>
      </c>
      <c r="P55" s="82">
        <f t="shared" si="8"/>
        <v>106.4832</v>
      </c>
      <c r="T55" s="92" t="s">
        <v>108</v>
      </c>
      <c r="U55" s="87" t="s">
        <v>713</v>
      </c>
      <c r="W55" s="132">
        <v>42718</v>
      </c>
      <c r="X55" s="10">
        <v>103.62</v>
      </c>
      <c r="Y55" s="10">
        <v>104.41</v>
      </c>
      <c r="Z55" s="10">
        <v>103.5</v>
      </c>
      <c r="AA55" s="10">
        <v>104.05</v>
      </c>
      <c r="AB55" s="94">
        <v>7961900</v>
      </c>
      <c r="AC55" s="10">
        <v>104.05</v>
      </c>
      <c r="AD55" s="2">
        <f t="shared" si="0"/>
        <v>0.90999999999999659</v>
      </c>
      <c r="AE55" s="137">
        <f t="shared" si="1"/>
        <v>1.925854597977894E-3</v>
      </c>
    </row>
    <row r="56" spans="2:31" x14ac:dyDescent="0.25">
      <c r="B56" s="192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30">
        <f t="shared" si="11"/>
        <v>-9.5444676167551392E-3</v>
      </c>
      <c r="I56" s="40"/>
      <c r="O56" s="82">
        <v>0.95</v>
      </c>
      <c r="P56" s="82">
        <f t="shared" si="8"/>
        <v>105.374</v>
      </c>
      <c r="T56" s="92" t="s">
        <v>111</v>
      </c>
      <c r="U56" s="87">
        <v>20.079999999999998</v>
      </c>
      <c r="W56" s="132">
        <v>42717</v>
      </c>
      <c r="X56" s="10">
        <v>104.2</v>
      </c>
      <c r="Y56" s="10">
        <v>104.31</v>
      </c>
      <c r="Z56" s="10">
        <v>103.71</v>
      </c>
      <c r="AA56" s="10">
        <v>103.85</v>
      </c>
      <c r="AB56" s="94">
        <v>7393200</v>
      </c>
      <c r="AC56" s="10">
        <v>103.85</v>
      </c>
      <c r="AD56" s="2">
        <f t="shared" si="0"/>
        <v>0.60000000000000853</v>
      </c>
      <c r="AE56" s="137">
        <f t="shared" si="1"/>
        <v>-2.0180665000961717E-3</v>
      </c>
    </row>
    <row r="57" spans="2:31" x14ac:dyDescent="0.25">
      <c r="B57" s="192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30">
        <f t="shared" si="11"/>
        <v>-1.1259170983789502E-2</v>
      </c>
      <c r="I57" s="40"/>
      <c r="O57" s="82">
        <v>0.94</v>
      </c>
      <c r="P57" s="82">
        <f t="shared" si="8"/>
        <v>104.26479999999999</v>
      </c>
      <c r="T57" s="92" t="s">
        <v>112</v>
      </c>
      <c r="U57" s="87">
        <v>5.54</v>
      </c>
      <c r="W57" s="132">
        <v>42716</v>
      </c>
      <c r="X57" s="10">
        <v>104.61</v>
      </c>
      <c r="Y57" s="10">
        <v>104.7</v>
      </c>
      <c r="Z57" s="10">
        <v>103.73</v>
      </c>
      <c r="AA57" s="10">
        <v>104.06</v>
      </c>
      <c r="AB57" s="94">
        <v>7880200</v>
      </c>
      <c r="AC57" s="10">
        <v>104.06</v>
      </c>
      <c r="AD57" s="2">
        <f t="shared" si="0"/>
        <v>0.96999999999999886</v>
      </c>
      <c r="AE57" s="137">
        <f t="shared" si="1"/>
        <v>-7.6292199122639515E-3</v>
      </c>
    </row>
    <row r="58" spans="2:31" x14ac:dyDescent="0.25">
      <c r="B58" s="192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30">
        <f t="shared" si="11"/>
        <v>1.0652594667701508E-3</v>
      </c>
      <c r="I58" s="40"/>
      <c r="O58" s="82">
        <v>0.93</v>
      </c>
      <c r="P58" s="82">
        <f t="shared" si="8"/>
        <v>103.15560000000001</v>
      </c>
      <c r="T58" s="92" t="s">
        <v>109</v>
      </c>
      <c r="U58" s="87" t="s">
        <v>714</v>
      </c>
      <c r="W58" s="132">
        <v>42713</v>
      </c>
      <c r="X58" s="10">
        <v>103.49</v>
      </c>
      <c r="Y58" s="10">
        <v>105.52</v>
      </c>
      <c r="Z58" s="10">
        <v>103.18</v>
      </c>
      <c r="AA58" s="10">
        <v>104.86</v>
      </c>
      <c r="AB58" s="94">
        <v>12173900</v>
      </c>
      <c r="AC58" s="10">
        <v>104.86</v>
      </c>
      <c r="AD58" s="2">
        <f t="shared" si="0"/>
        <v>2.3399999999999892</v>
      </c>
      <c r="AE58" s="137">
        <f t="shared" si="1"/>
        <v>1.4316115302766441E-2</v>
      </c>
    </row>
    <row r="59" spans="2:31" x14ac:dyDescent="0.25">
      <c r="B59" s="192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30">
        <f t="shared" si="11"/>
        <v>-1.4474239796979123E-2</v>
      </c>
      <c r="I59" s="40"/>
      <c r="O59" s="82">
        <v>0.92</v>
      </c>
      <c r="P59" s="82">
        <f t="shared" si="8"/>
        <v>102.04640000000001</v>
      </c>
      <c r="W59" s="132">
        <v>42712</v>
      </c>
      <c r="X59" s="10">
        <v>101.47</v>
      </c>
      <c r="Y59" s="10">
        <v>103.96</v>
      </c>
      <c r="Z59" s="10">
        <v>101.47</v>
      </c>
      <c r="AA59" s="10">
        <v>103.38</v>
      </c>
      <c r="AB59" s="94">
        <v>16524800</v>
      </c>
      <c r="AC59" s="10">
        <v>103.38</v>
      </c>
      <c r="AD59" s="2">
        <f t="shared" si="0"/>
        <v>2.4899999999999949</v>
      </c>
      <c r="AE59" s="137" t="e">
        <f t="shared" si="1"/>
        <v>#DIV/0!</v>
      </c>
    </row>
    <row r="60" spans="2:31" x14ac:dyDescent="0.25">
      <c r="B60" s="192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30">
        <f t="shared" si="11"/>
        <v>-1.7046294847530667E-2</v>
      </c>
      <c r="I60" s="40"/>
      <c r="O60" s="82">
        <v>0.91</v>
      </c>
      <c r="P60" s="82">
        <f t="shared" si="8"/>
        <v>100.9372</v>
      </c>
      <c r="W60" s="132">
        <v>42712</v>
      </c>
      <c r="X60" s="10" t="s">
        <v>332</v>
      </c>
      <c r="Y60" s="10"/>
      <c r="Z60" s="10"/>
      <c r="AA60" s="10"/>
      <c r="AB60" s="94"/>
      <c r="AC60" s="10"/>
      <c r="AD60" s="2">
        <f t="shared" si="0"/>
        <v>0</v>
      </c>
      <c r="AE60" s="137">
        <f t="shared" si="1"/>
        <v>-1</v>
      </c>
    </row>
    <row r="61" spans="2:31" x14ac:dyDescent="0.25">
      <c r="B61" s="192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30">
        <f t="shared" si="11"/>
        <v>-1.1902184746427426E-2</v>
      </c>
      <c r="I61" s="40"/>
      <c r="O61" s="82">
        <v>0.9</v>
      </c>
      <c r="P61" s="82">
        <f t="shared" si="8"/>
        <v>99.828000000000003</v>
      </c>
      <c r="W61" s="132">
        <v>42711</v>
      </c>
      <c r="X61" s="10">
        <v>100.51</v>
      </c>
      <c r="Y61" s="10">
        <v>102.07</v>
      </c>
      <c r="Z61" s="10">
        <v>100.44</v>
      </c>
      <c r="AA61" s="10">
        <v>101.99</v>
      </c>
      <c r="AB61" s="94">
        <v>12255700</v>
      </c>
      <c r="AC61" s="10">
        <v>101.21</v>
      </c>
      <c r="AD61" s="2">
        <f t="shared" si="0"/>
        <v>1.6299999999999955</v>
      </c>
      <c r="AE61" s="137">
        <f t="shared" si="1"/>
        <v>1.3214535989588549E-2</v>
      </c>
    </row>
    <row r="62" spans="2:31" x14ac:dyDescent="0.25">
      <c r="B62" s="192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30">
        <f t="shared" si="11"/>
        <v>-4.8290333574105664E-3</v>
      </c>
      <c r="I62" s="40"/>
      <c r="W62" s="132">
        <v>42710</v>
      </c>
      <c r="X62" s="10">
        <v>99.95</v>
      </c>
      <c r="Y62" s="10">
        <v>100.72</v>
      </c>
      <c r="Z62" s="10">
        <v>99.82</v>
      </c>
      <c r="AA62" s="10">
        <v>100.66</v>
      </c>
      <c r="AB62" s="94">
        <v>8427500</v>
      </c>
      <c r="AC62" s="10">
        <v>99.89</v>
      </c>
      <c r="AD62" s="2">
        <f t="shared" si="0"/>
        <v>0.90000000000000568</v>
      </c>
      <c r="AE62" s="137">
        <f t="shared" si="1"/>
        <v>6.9556451612902137E-3</v>
      </c>
    </row>
    <row r="63" spans="2:31" x14ac:dyDescent="0.25">
      <c r="B63" s="192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30">
        <f t="shared" si="11"/>
        <v>-8.7942848936776626E-3</v>
      </c>
      <c r="I63" s="40"/>
      <c r="W63" s="132">
        <v>42709</v>
      </c>
      <c r="X63" s="10">
        <v>98.98</v>
      </c>
      <c r="Y63" s="10">
        <v>100.27</v>
      </c>
      <c r="Z63" s="10">
        <v>98.68</v>
      </c>
      <c r="AA63" s="10">
        <v>99.96</v>
      </c>
      <c r="AB63" s="94">
        <v>11331500</v>
      </c>
      <c r="AC63" s="10">
        <v>99.2</v>
      </c>
      <c r="AD63" s="2">
        <f t="shared" si="0"/>
        <v>1.5899999999999892</v>
      </c>
      <c r="AE63" s="137">
        <f t="shared" si="1"/>
        <v>1.4833759590792805E-2</v>
      </c>
    </row>
    <row r="64" spans="2:31" x14ac:dyDescent="0.25">
      <c r="B64" s="192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30">
        <f t="shared" si="11"/>
        <v>-3.0071610299364985E-3</v>
      </c>
      <c r="I64" s="40"/>
      <c r="W64" s="132">
        <v>42706</v>
      </c>
      <c r="X64" s="10">
        <v>98.79</v>
      </c>
      <c r="Y64" s="10">
        <v>99.08</v>
      </c>
      <c r="Z64" s="10">
        <v>98.25</v>
      </c>
      <c r="AA64" s="10">
        <v>98.5</v>
      </c>
      <c r="AB64" s="94">
        <v>7737200</v>
      </c>
      <c r="AC64" s="10">
        <v>97.75</v>
      </c>
      <c r="AD64" s="2">
        <f t="shared" si="0"/>
        <v>0.82999999999999829</v>
      </c>
      <c r="AE64" s="137">
        <f t="shared" si="1"/>
        <v>-4.3797107353840126E-3</v>
      </c>
    </row>
    <row r="65" spans="2:31" x14ac:dyDescent="0.25">
      <c r="B65" s="192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30">
        <f t="shared" si="11"/>
        <v>-6.6509056848846337E-3</v>
      </c>
      <c r="I65" s="40"/>
      <c r="W65" s="132">
        <v>42705</v>
      </c>
      <c r="X65" s="10">
        <v>99.13</v>
      </c>
      <c r="Y65" s="10">
        <v>99.75</v>
      </c>
      <c r="Z65" s="10">
        <v>98.62</v>
      </c>
      <c r="AA65" s="10">
        <v>98.94</v>
      </c>
      <c r="AB65" s="94">
        <v>9958100</v>
      </c>
      <c r="AC65" s="10">
        <v>98.18</v>
      </c>
      <c r="AD65" s="2">
        <f t="shared" si="0"/>
        <v>1.1299999999999955</v>
      </c>
      <c r="AE65" s="137">
        <f t="shared" si="1"/>
        <v>-1.8300122000812769E-3</v>
      </c>
    </row>
    <row r="66" spans="2:31" x14ac:dyDescent="0.25">
      <c r="B66" s="192">
        <v>42701</v>
      </c>
      <c r="C66" s="10">
        <v>0</v>
      </c>
      <c r="D66" s="40"/>
      <c r="E66" s="40"/>
      <c r="F66" s="40">
        <v>257.31</v>
      </c>
      <c r="G66" s="40"/>
      <c r="H66" s="230"/>
      <c r="I66" s="40"/>
      <c r="W66" s="132">
        <v>42704</v>
      </c>
      <c r="X66" s="10">
        <v>99.4</v>
      </c>
      <c r="Y66" s="10">
        <v>100.29</v>
      </c>
      <c r="Z66" s="10">
        <v>99</v>
      </c>
      <c r="AA66" s="10">
        <v>99.12</v>
      </c>
      <c r="AB66" s="94">
        <v>11369200</v>
      </c>
      <c r="AC66" s="10">
        <v>98.36</v>
      </c>
      <c r="AD66" s="2">
        <f t="shared" si="0"/>
        <v>1.2900000000000063</v>
      </c>
      <c r="AE66" s="137">
        <f t="shared" si="1"/>
        <v>-5.5606106561519875E-3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42703</v>
      </c>
      <c r="X67" s="10">
        <v>99.24</v>
      </c>
      <c r="Y67" s="10">
        <v>99.68</v>
      </c>
      <c r="Z67" s="10">
        <v>98.97</v>
      </c>
      <c r="AA67" s="10">
        <v>99.67</v>
      </c>
      <c r="AB67" s="94">
        <v>8396800</v>
      </c>
      <c r="AC67" s="10">
        <v>98.91</v>
      </c>
      <c r="AD67" s="2">
        <f>Y67-Z67</f>
        <v>0.71000000000000796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42702</v>
      </c>
      <c r="X68" s="10">
        <v>98.52</v>
      </c>
      <c r="Y68" s="10">
        <v>99.2</v>
      </c>
      <c r="Z68" s="10">
        <v>98.32</v>
      </c>
      <c r="AA68" s="10">
        <v>98.97</v>
      </c>
      <c r="AB68" s="94">
        <v>7106700</v>
      </c>
      <c r="AC68" s="10">
        <v>98.21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3" t="s">
        <v>1</v>
      </c>
      <c r="B82" s="553" t="s">
        <v>2</v>
      </c>
      <c r="C82" s="553" t="s">
        <v>4</v>
      </c>
      <c r="D82" s="554" t="s">
        <v>5</v>
      </c>
      <c r="E82" s="554" t="s">
        <v>94</v>
      </c>
      <c r="F82" s="554" t="s">
        <v>60</v>
      </c>
      <c r="G82" s="553" t="s">
        <v>3</v>
      </c>
      <c r="H82" s="553" t="s">
        <v>6</v>
      </c>
      <c r="I82" s="554" t="s">
        <v>7</v>
      </c>
      <c r="J82" s="554" t="s">
        <v>95</v>
      </c>
      <c r="K82" s="554" t="s">
        <v>61</v>
      </c>
      <c r="L82" s="553" t="s">
        <v>37</v>
      </c>
      <c r="M82" s="553" t="s">
        <v>38</v>
      </c>
    </row>
    <row r="83" spans="1:13" x14ac:dyDescent="0.25">
      <c r="A83" s="555" t="s">
        <v>63</v>
      </c>
      <c r="B83" s="551">
        <v>42226</v>
      </c>
      <c r="C83" s="556">
        <v>10</v>
      </c>
      <c r="D83" s="557">
        <v>113.72</v>
      </c>
      <c r="E83" s="557">
        <v>0</v>
      </c>
      <c r="F83" s="557">
        <f t="shared" ref="F83:F92" si="12">C83*D83</f>
        <v>1137.2</v>
      </c>
      <c r="G83" s="551">
        <v>42304</v>
      </c>
      <c r="H83" s="558">
        <v>30</v>
      </c>
      <c r="I83" s="557">
        <v>111.35</v>
      </c>
      <c r="J83" s="557">
        <v>0.06</v>
      </c>
      <c r="K83" s="557">
        <f t="shared" ref="K83:K88" si="13">I83*H83-J83</f>
        <v>3340.44</v>
      </c>
      <c r="L83" s="551">
        <v>42580</v>
      </c>
      <c r="M83" s="557">
        <v>10.65</v>
      </c>
    </row>
    <row r="84" spans="1:13" x14ac:dyDescent="0.25">
      <c r="A84" s="559" t="s">
        <v>71</v>
      </c>
      <c r="B84" s="551">
        <v>42226</v>
      </c>
      <c r="C84" s="556">
        <v>5</v>
      </c>
      <c r="D84" s="557">
        <v>112.2</v>
      </c>
      <c r="E84" s="557">
        <v>0</v>
      </c>
      <c r="F84" s="557">
        <f t="shared" si="12"/>
        <v>561</v>
      </c>
      <c r="G84" s="551">
        <v>42416</v>
      </c>
      <c r="H84" s="558">
        <v>15</v>
      </c>
      <c r="I84" s="557">
        <v>92.85</v>
      </c>
      <c r="J84" s="557">
        <v>0.03</v>
      </c>
      <c r="K84" s="557">
        <f t="shared" si="13"/>
        <v>1392.72</v>
      </c>
      <c r="L84" s="556"/>
      <c r="M84" s="556"/>
    </row>
    <row r="85" spans="1:13" x14ac:dyDescent="0.25">
      <c r="A85" s="556"/>
      <c r="B85" s="551">
        <v>42226</v>
      </c>
      <c r="C85" s="556">
        <v>5</v>
      </c>
      <c r="D85" s="557">
        <v>110.93</v>
      </c>
      <c r="E85" s="557">
        <v>0</v>
      </c>
      <c r="F85" s="557">
        <f t="shared" si="12"/>
        <v>554.65000000000009</v>
      </c>
      <c r="G85" s="551">
        <v>42482</v>
      </c>
      <c r="H85" s="558">
        <v>10</v>
      </c>
      <c r="I85" s="557">
        <v>103.71</v>
      </c>
      <c r="J85" s="557">
        <v>0.02</v>
      </c>
      <c r="K85" s="557">
        <f t="shared" si="13"/>
        <v>1037.08</v>
      </c>
      <c r="L85" s="556"/>
      <c r="M85" s="556"/>
    </row>
    <row r="86" spans="1:13" x14ac:dyDescent="0.25">
      <c r="A86" s="556"/>
      <c r="B86" s="551">
        <v>42227</v>
      </c>
      <c r="C86" s="556">
        <v>10</v>
      </c>
      <c r="D86" s="557">
        <v>105</v>
      </c>
      <c r="E86" s="557">
        <v>0</v>
      </c>
      <c r="F86" s="557">
        <f t="shared" si="12"/>
        <v>1050</v>
      </c>
      <c r="G86" s="551">
        <v>42592</v>
      </c>
      <c r="H86" s="558">
        <v>15</v>
      </c>
      <c r="I86" s="557">
        <v>97.88</v>
      </c>
      <c r="J86" s="557">
        <v>0.03</v>
      </c>
      <c r="K86" s="557">
        <f t="shared" si="13"/>
        <v>1468.1699999999998</v>
      </c>
      <c r="L86" s="556"/>
      <c r="M86" s="556"/>
    </row>
    <row r="87" spans="1:13" x14ac:dyDescent="0.25">
      <c r="A87" s="556"/>
      <c r="B87" s="551">
        <v>42374</v>
      </c>
      <c r="C87" s="556">
        <v>25</v>
      </c>
      <c r="D87" s="557">
        <v>100.9</v>
      </c>
      <c r="E87" s="557">
        <v>0</v>
      </c>
      <c r="F87" s="557">
        <f t="shared" si="12"/>
        <v>2522.5</v>
      </c>
      <c r="G87" s="551">
        <v>42684</v>
      </c>
      <c r="H87" s="558">
        <v>50</v>
      </c>
      <c r="I87" s="557">
        <v>97.5</v>
      </c>
      <c r="J87" s="557">
        <v>0.11</v>
      </c>
      <c r="K87" s="557">
        <f t="shared" si="13"/>
        <v>4874.8900000000003</v>
      </c>
      <c r="L87" s="556"/>
      <c r="M87" s="556"/>
    </row>
    <row r="88" spans="1:13" x14ac:dyDescent="0.25">
      <c r="A88" s="556"/>
      <c r="B88" s="551">
        <v>42409</v>
      </c>
      <c r="C88" s="556">
        <v>15</v>
      </c>
      <c r="D88" s="557">
        <v>88.5</v>
      </c>
      <c r="E88" s="557">
        <v>0</v>
      </c>
      <c r="F88" s="557">
        <f t="shared" si="12"/>
        <v>1327.5</v>
      </c>
      <c r="G88" s="551">
        <v>42684</v>
      </c>
      <c r="H88" s="558">
        <v>20</v>
      </c>
      <c r="I88" s="557">
        <v>95.71</v>
      </c>
      <c r="J88" s="557">
        <v>0.04</v>
      </c>
      <c r="K88" s="557">
        <f t="shared" si="13"/>
        <v>1914.1599999999999</v>
      </c>
      <c r="L88" s="556"/>
      <c r="M88" s="556"/>
    </row>
    <row r="89" spans="1:13" x14ac:dyDescent="0.25">
      <c r="A89" s="556"/>
      <c r="B89" s="551">
        <v>42586</v>
      </c>
      <c r="C89" s="556">
        <v>15</v>
      </c>
      <c r="D89" s="557">
        <v>94.88</v>
      </c>
      <c r="E89" s="557">
        <v>0</v>
      </c>
      <c r="F89" s="557">
        <f t="shared" si="12"/>
        <v>1423.1999999999998</v>
      </c>
      <c r="G89" s="556"/>
      <c r="H89" s="558"/>
      <c r="I89" s="557"/>
      <c r="J89" s="557"/>
      <c r="K89" s="557"/>
      <c r="L89" s="556"/>
      <c r="M89" s="556"/>
    </row>
    <row r="90" spans="1:13" x14ac:dyDescent="0.25">
      <c r="A90" s="556"/>
      <c r="B90" s="551">
        <v>42594</v>
      </c>
      <c r="C90" s="556">
        <v>15</v>
      </c>
      <c r="D90" s="557">
        <v>96.85</v>
      </c>
      <c r="E90" s="557">
        <v>0</v>
      </c>
      <c r="F90" s="557">
        <f t="shared" si="12"/>
        <v>1452.75</v>
      </c>
      <c r="G90" s="556"/>
      <c r="H90" s="558"/>
      <c r="I90" s="557"/>
      <c r="J90" s="557"/>
      <c r="K90" s="557"/>
      <c r="L90" s="556"/>
      <c r="M90" s="556"/>
    </row>
    <row r="91" spans="1:13" x14ac:dyDescent="0.25">
      <c r="A91" s="556"/>
      <c r="B91" s="551">
        <v>42611</v>
      </c>
      <c r="C91" s="556">
        <v>25</v>
      </c>
      <c r="D91" s="557">
        <v>94.58</v>
      </c>
      <c r="E91" s="557">
        <v>0</v>
      </c>
      <c r="F91" s="557">
        <f t="shared" si="12"/>
        <v>2364.5</v>
      </c>
      <c r="G91" s="556"/>
      <c r="H91" s="556"/>
      <c r="I91" s="557"/>
      <c r="J91" s="557"/>
      <c r="K91" s="557"/>
      <c r="L91" s="556"/>
      <c r="M91" s="556"/>
    </row>
    <row r="92" spans="1:13" x14ac:dyDescent="0.25">
      <c r="A92" s="556"/>
      <c r="B92" s="551">
        <v>42622</v>
      </c>
      <c r="C92" s="556">
        <v>15</v>
      </c>
      <c r="D92" s="557">
        <v>92.5</v>
      </c>
      <c r="E92" s="557">
        <v>0</v>
      </c>
      <c r="F92" s="557">
        <f t="shared" si="12"/>
        <v>1387.5</v>
      </c>
      <c r="G92" s="556"/>
      <c r="H92" s="556"/>
      <c r="I92" s="557"/>
      <c r="J92" s="557"/>
      <c r="K92" s="557"/>
      <c r="L92" s="556"/>
      <c r="M92" s="556"/>
    </row>
    <row r="93" spans="1:13" x14ac:dyDescent="0.25">
      <c r="A93" s="556"/>
      <c r="B93" s="556"/>
      <c r="C93" s="556"/>
      <c r="D93" s="557"/>
      <c r="E93" s="557"/>
      <c r="F93" s="557"/>
      <c r="G93" s="556"/>
      <c r="H93" s="556"/>
      <c r="I93" s="557"/>
      <c r="J93" s="557"/>
      <c r="K93" s="557"/>
      <c r="L93" s="556"/>
      <c r="M93" s="556"/>
    </row>
    <row r="94" spans="1:13" x14ac:dyDescent="0.25">
      <c r="A94" s="556"/>
      <c r="B94" s="556"/>
      <c r="C94" s="556"/>
      <c r="D94" s="557"/>
      <c r="E94" s="557"/>
      <c r="F94" s="557"/>
      <c r="G94" s="556"/>
      <c r="H94" s="556"/>
      <c r="I94" s="557"/>
      <c r="J94" s="557"/>
      <c r="K94" s="557"/>
      <c r="L94" s="556"/>
      <c r="M94" s="556"/>
    </row>
    <row r="95" spans="1:13" x14ac:dyDescent="0.25">
      <c r="A95" s="556"/>
      <c r="B95" s="556"/>
      <c r="C95" s="556"/>
      <c r="D95" s="557"/>
      <c r="E95" s="557"/>
      <c r="F95" s="557"/>
      <c r="G95" s="556"/>
      <c r="H95" s="556"/>
      <c r="I95" s="557"/>
      <c r="J95" s="557"/>
      <c r="K95" s="557"/>
      <c r="L95" s="556"/>
      <c r="M95" s="556"/>
    </row>
    <row r="96" spans="1:13" x14ac:dyDescent="0.25">
      <c r="A96" s="556"/>
      <c r="B96" s="556"/>
      <c r="C96" s="556"/>
      <c r="D96" s="557"/>
      <c r="E96" s="557"/>
      <c r="F96" s="557"/>
      <c r="G96" s="556"/>
      <c r="H96" s="556"/>
      <c r="I96" s="557"/>
      <c r="J96" s="557"/>
      <c r="K96" s="557"/>
      <c r="L96" s="556"/>
      <c r="M96" s="556"/>
    </row>
    <row r="97" spans="1:13" x14ac:dyDescent="0.25">
      <c r="A97" s="556"/>
      <c r="B97" s="556"/>
      <c r="C97" s="556"/>
      <c r="D97" s="557"/>
      <c r="E97" s="557"/>
      <c r="F97" s="557"/>
      <c r="G97" s="556"/>
      <c r="H97" s="556"/>
      <c r="I97" s="557"/>
      <c r="J97" s="557"/>
      <c r="K97" s="557"/>
      <c r="L97" s="556"/>
      <c r="M97" s="556"/>
    </row>
    <row r="98" spans="1:13" x14ac:dyDescent="0.25">
      <c r="A98" s="556"/>
      <c r="B98" s="556"/>
      <c r="C98" s="556"/>
      <c r="D98" s="557"/>
      <c r="E98" s="557"/>
      <c r="F98" s="557"/>
      <c r="G98" s="556"/>
      <c r="H98" s="556"/>
      <c r="I98" s="557"/>
      <c r="J98" s="557"/>
      <c r="K98" s="557"/>
      <c r="L98" s="556"/>
      <c r="M98" s="556"/>
    </row>
    <row r="99" spans="1:13" x14ac:dyDescent="0.25">
      <c r="A99" s="560" t="s">
        <v>81</v>
      </c>
      <c r="B99" s="561"/>
      <c r="C99" s="561">
        <f>SUM(C83:C92)</f>
        <v>140</v>
      </c>
      <c r="D99" s="562"/>
      <c r="E99" s="562"/>
      <c r="F99" s="562">
        <f>SUM(F83:F92)</f>
        <v>13780.8</v>
      </c>
      <c r="G99" s="561"/>
      <c r="H99" s="563">
        <f>SUM(H83:H88)</f>
        <v>140</v>
      </c>
      <c r="I99" s="562"/>
      <c r="J99" s="562"/>
      <c r="K99" s="562">
        <f>SUM(K83:K88)</f>
        <v>14027.46</v>
      </c>
      <c r="L99" s="561"/>
      <c r="M99" s="562">
        <f>SUM(M83:M86)</f>
        <v>10.65</v>
      </c>
    </row>
    <row r="100" spans="1:13" ht="15.75" thickBot="1" x14ac:dyDescent="0.3">
      <c r="A100" s="564" t="s">
        <v>197</v>
      </c>
      <c r="B100" s="565"/>
      <c r="C100" s="566">
        <f>SumByColor($A$19,C83:C98)</f>
        <v>0</v>
      </c>
      <c r="D100" s="566"/>
      <c r="E100" s="566"/>
      <c r="F100" s="567">
        <f>SumByColor($A$19,F83:F98)</f>
        <v>0</v>
      </c>
      <c r="G100" s="566"/>
      <c r="H100" s="566">
        <f>SumByColor($A$19,H83:H98)</f>
        <v>0</v>
      </c>
      <c r="I100" s="566"/>
      <c r="J100" s="566"/>
      <c r="K100" s="567">
        <f>SumByColor($A$19,K83:K98)</f>
        <v>0</v>
      </c>
      <c r="L100" s="566"/>
      <c r="M100" s="5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7" priority="15">
      <formula>F25&gt;0</formula>
    </cfRule>
    <cfRule type="expression" dxfId="116" priority="16">
      <formula>F25&lt;0</formula>
    </cfRule>
  </conditionalFormatting>
  <conditionalFormatting sqref="F32:F70">
    <cfRule type="expression" dxfId="115" priority="11">
      <formula>F32&gt;0</formula>
    </cfRule>
    <cfRule type="expression" dxfId="114" priority="12">
      <formula>F32&lt;0</formula>
    </cfRule>
  </conditionalFormatting>
  <conditionalFormatting sqref="F32:F70">
    <cfRule type="expression" dxfId="113" priority="13">
      <formula>F32&gt;0</formula>
    </cfRule>
    <cfRule type="expression" dxfId="112" priority="14">
      <formula>F32&lt;0</formula>
    </cfRule>
  </conditionalFormatting>
  <conditionalFormatting sqref="H25 H30:H70">
    <cfRule type="expression" dxfId="111" priority="9">
      <formula>H25&gt;0</formula>
    </cfRule>
    <cfRule type="expression" dxfId="110" priority="10">
      <formula>H25&lt;0</formula>
    </cfRule>
  </conditionalFormatting>
  <conditionalFormatting sqref="F26:F29">
    <cfRule type="expression" dxfId="109" priority="7">
      <formula>F26&gt;0</formula>
    </cfRule>
    <cfRule type="expression" dxfId="108" priority="8">
      <formula>F26&lt;0</formula>
    </cfRule>
  </conditionalFormatting>
  <conditionalFormatting sqref="H26:H29">
    <cfRule type="expression" dxfId="107" priority="5">
      <formula>H26&gt;0</formula>
    </cfRule>
    <cfRule type="expression" dxfId="106" priority="6">
      <formula>H26&lt;0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500">
        <v>42629</v>
      </c>
      <c r="C2" s="7">
        <v>400</v>
      </c>
      <c r="D2" s="44">
        <v>4.28</v>
      </c>
      <c r="E2" s="44">
        <v>0</v>
      </c>
      <c r="F2" s="44">
        <f t="shared" ref="F2:F13" si="0">C2*D2+E2</f>
        <v>1712</v>
      </c>
      <c r="G2" s="500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2000</v>
      </c>
      <c r="T2" s="1"/>
      <c r="W2" s="109">
        <v>42797</v>
      </c>
      <c r="X2" s="9">
        <v>2.85</v>
      </c>
      <c r="Y2" s="9">
        <v>2.9</v>
      </c>
      <c r="Z2" s="9">
        <v>2.81</v>
      </c>
      <c r="AA2" s="9">
        <v>2.87</v>
      </c>
      <c r="AB2" s="103">
        <v>29152800</v>
      </c>
      <c r="AC2" s="9">
        <v>2.87</v>
      </c>
      <c r="AD2" s="40">
        <f>Y2-Z2</f>
        <v>8.9999999999999858E-2</v>
      </c>
      <c r="AE2" s="161">
        <f>AC2/AC3-1</f>
        <v>2.1352313167259718E-2</v>
      </c>
    </row>
    <row r="3" spans="1:31" x14ac:dyDescent="0.25">
      <c r="A3" s="23" t="s">
        <v>71</v>
      </c>
      <c r="B3" s="500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0">
        <v>42670</v>
      </c>
      <c r="H3" s="81">
        <v>200</v>
      </c>
      <c r="I3" s="44">
        <v>4.18</v>
      </c>
      <c r="J3" s="44">
        <v>0.02</v>
      </c>
      <c r="K3" s="44">
        <f t="shared" ref="K3:K9" si="1">H3*I3-J3</f>
        <v>835.98</v>
      </c>
      <c r="O3" s="11" t="s">
        <v>58</v>
      </c>
      <c r="Q3" s="490">
        <f>IF(Q2=0, Q4, (F18-M18-K18)/Q2)</f>
        <v>3.2776399999999994</v>
      </c>
      <c r="T3" s="1"/>
      <c r="W3" s="109">
        <v>42796</v>
      </c>
      <c r="X3" s="9">
        <v>2.92</v>
      </c>
      <c r="Y3" s="9">
        <v>2.94</v>
      </c>
      <c r="Z3" s="9">
        <v>2.78</v>
      </c>
      <c r="AA3" s="9">
        <v>2.81</v>
      </c>
      <c r="AB3" s="103">
        <v>57370200</v>
      </c>
      <c r="AC3" s="9">
        <v>2.81</v>
      </c>
      <c r="AD3" s="40">
        <f t="shared" ref="AD3:AD66" si="2">Y3-Z3</f>
        <v>0.16000000000000014</v>
      </c>
      <c r="AE3" s="161">
        <f t="shared" ref="AE3:AE66" si="3">AC3/AC4-1</f>
        <v>-3.7671232876712257E-2</v>
      </c>
    </row>
    <row r="4" spans="1:31" x14ac:dyDescent="0.25">
      <c r="B4" s="500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0">
        <v>42670</v>
      </c>
      <c r="H4" s="81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0">
        <v>2.67</v>
      </c>
      <c r="R4" s="499">
        <v>2.69E-2</v>
      </c>
      <c r="T4" s="162"/>
      <c r="W4" s="109">
        <v>42795</v>
      </c>
      <c r="X4" s="9">
        <v>2.95</v>
      </c>
      <c r="Y4" s="9">
        <v>2.95</v>
      </c>
      <c r="Z4" s="9">
        <v>2.9</v>
      </c>
      <c r="AA4" s="9">
        <v>2.92</v>
      </c>
      <c r="AB4" s="103">
        <v>36819800</v>
      </c>
      <c r="AC4" s="9">
        <v>2.92</v>
      </c>
      <c r="AD4" s="40">
        <f t="shared" si="2"/>
        <v>5.0000000000000266E-2</v>
      </c>
      <c r="AE4" s="161">
        <f t="shared" si="3"/>
        <v>-3.4129692832765013E-3</v>
      </c>
    </row>
    <row r="5" spans="1:31" x14ac:dyDescent="0.25">
      <c r="B5" s="500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500">
        <v>42697</v>
      </c>
      <c r="H5" s="81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5340</v>
      </c>
      <c r="W5" s="109">
        <v>42794</v>
      </c>
      <c r="X5" s="9">
        <v>3.08</v>
      </c>
      <c r="Y5" s="9">
        <v>3.11</v>
      </c>
      <c r="Z5" s="9">
        <v>2.9</v>
      </c>
      <c r="AA5" s="9">
        <v>2.93</v>
      </c>
      <c r="AB5" s="103">
        <v>122120500</v>
      </c>
      <c r="AC5" s="9">
        <v>2.93</v>
      </c>
      <c r="AD5" s="40">
        <f t="shared" si="2"/>
        <v>0.20999999999999996</v>
      </c>
      <c r="AE5" s="161">
        <f t="shared" si="3"/>
        <v>-0.10942249240121582</v>
      </c>
    </row>
    <row r="6" spans="1:31" x14ac:dyDescent="0.25">
      <c r="B6" s="500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500">
        <v>42702</v>
      </c>
      <c r="H6" s="81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6555.2799999999988</v>
      </c>
      <c r="W6" s="109">
        <v>42793</v>
      </c>
      <c r="X6" s="9">
        <v>3.36</v>
      </c>
      <c r="Y6" s="9">
        <v>3.39</v>
      </c>
      <c r="Z6" s="9">
        <v>3.28</v>
      </c>
      <c r="AA6" s="9">
        <v>3.29</v>
      </c>
      <c r="AB6" s="103">
        <v>31783300</v>
      </c>
      <c r="AC6" s="9">
        <v>3.29</v>
      </c>
      <c r="AD6" s="40">
        <f t="shared" si="2"/>
        <v>0.11000000000000032</v>
      </c>
      <c r="AE6" s="161">
        <f t="shared" si="3"/>
        <v>-2.3738872403560873E-2</v>
      </c>
    </row>
    <row r="7" spans="1:31" x14ac:dyDescent="0.25">
      <c r="B7" s="500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0">
        <v>42738</v>
      </c>
      <c r="H7" s="81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-780.34999999999854</v>
      </c>
      <c r="R7">
        <v>1300</v>
      </c>
      <c r="W7" s="109">
        <v>42790</v>
      </c>
      <c r="X7" s="9">
        <v>3.4</v>
      </c>
      <c r="Y7" s="9">
        <v>3.42</v>
      </c>
      <c r="Z7" s="9">
        <v>3.37</v>
      </c>
      <c r="AA7" s="9">
        <v>3.37</v>
      </c>
      <c r="AB7" s="103">
        <v>16963000</v>
      </c>
      <c r="AC7" s="9">
        <v>3.37</v>
      </c>
      <c r="AD7" s="40">
        <f t="shared" si="2"/>
        <v>4.9999999999999822E-2</v>
      </c>
      <c r="AE7" s="161">
        <f t="shared" si="3"/>
        <v>-5.8997050147492347E-3</v>
      </c>
    </row>
    <row r="8" spans="1:31" x14ac:dyDescent="0.25">
      <c r="B8" s="500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0">
        <v>42760</v>
      </c>
      <c r="H8" s="81">
        <v>400</v>
      </c>
      <c r="I8" s="44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K18+M18-F18+Q2*Q4</f>
        <v>-1215.2799999999988</v>
      </c>
      <c r="W8" s="109">
        <v>42789</v>
      </c>
      <c r="X8" s="9">
        <v>3.38</v>
      </c>
      <c r="Y8" s="9">
        <v>3.4</v>
      </c>
      <c r="Z8" s="9">
        <v>3.33</v>
      </c>
      <c r="AA8" s="9">
        <v>3.39</v>
      </c>
      <c r="AB8" s="103">
        <v>17551700</v>
      </c>
      <c r="AC8" s="9">
        <v>3.39</v>
      </c>
      <c r="AD8" s="40">
        <f t="shared" si="2"/>
        <v>6.999999999999984E-2</v>
      </c>
      <c r="AE8" s="161">
        <f t="shared" si="3"/>
        <v>1.1940298507462588E-2</v>
      </c>
    </row>
    <row r="9" spans="1:31" x14ac:dyDescent="0.25">
      <c r="B9" s="500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500">
        <v>42790</v>
      </c>
      <c r="H9" s="81">
        <v>700</v>
      </c>
      <c r="I9" s="44">
        <v>3.42</v>
      </c>
      <c r="J9" s="44">
        <v>0.05</v>
      </c>
      <c r="K9" s="44">
        <f t="shared" si="1"/>
        <v>2393.9499999999998</v>
      </c>
      <c r="O9" s="11" t="s">
        <v>213</v>
      </c>
      <c r="Q9" s="137">
        <f>IF(Q2=0, 0, Q8/Q6)</f>
        <v>-0.18538948755812093</v>
      </c>
      <c r="W9" s="109">
        <v>42788</v>
      </c>
      <c r="X9" s="9">
        <v>3.33</v>
      </c>
      <c r="Y9" s="9">
        <v>3.39</v>
      </c>
      <c r="Z9" s="9">
        <v>3.31</v>
      </c>
      <c r="AA9" s="9">
        <v>3.35</v>
      </c>
      <c r="AB9" s="103">
        <v>18850500</v>
      </c>
      <c r="AC9" s="9">
        <v>3.35</v>
      </c>
      <c r="AD9" s="40">
        <f t="shared" si="2"/>
        <v>8.0000000000000071E-2</v>
      </c>
      <c r="AE9" s="161">
        <f t="shared" si="3"/>
        <v>9.0361445783133654E-3</v>
      </c>
    </row>
    <row r="10" spans="1:31" x14ac:dyDescent="0.25">
      <c r="B10" s="501">
        <v>42754</v>
      </c>
      <c r="C10" s="7">
        <v>400</v>
      </c>
      <c r="D10" s="44">
        <v>3.42</v>
      </c>
      <c r="E10" s="44">
        <v>0</v>
      </c>
      <c r="F10" s="44">
        <f t="shared" si="0"/>
        <v>1368</v>
      </c>
      <c r="G10" s="30"/>
      <c r="H10" s="184"/>
      <c r="I10" s="3"/>
      <c r="J10" s="3"/>
      <c r="K10" s="3"/>
      <c r="O10" s="11" t="s">
        <v>212</v>
      </c>
      <c r="P10" s="34"/>
      <c r="Q10" s="2">
        <f>M68</f>
        <v>434.93000000000029</v>
      </c>
      <c r="W10" s="109">
        <v>42787</v>
      </c>
      <c r="X10" s="9">
        <v>3.3</v>
      </c>
      <c r="Y10" s="9">
        <v>3.33</v>
      </c>
      <c r="Z10" s="9">
        <v>3.24</v>
      </c>
      <c r="AA10" s="9">
        <v>3.32</v>
      </c>
      <c r="AB10" s="103">
        <v>26775400</v>
      </c>
      <c r="AC10" s="9">
        <v>3.32</v>
      </c>
      <c r="AD10" s="40">
        <f t="shared" si="2"/>
        <v>8.9999999999999858E-2</v>
      </c>
      <c r="AE10" s="161">
        <f t="shared" si="3"/>
        <v>9.1185410334346795E-3</v>
      </c>
    </row>
    <row r="11" spans="1:31" x14ac:dyDescent="0.25">
      <c r="B11" s="50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30"/>
      <c r="O11" s="11" t="s">
        <v>178</v>
      </c>
      <c r="P11" s="34"/>
      <c r="Q11" s="137">
        <f>VALUE(TRIM(CLEAN(MID(U58, FIND("(", U58)+1, 6))))</f>
        <v>0.14949999999999999</v>
      </c>
      <c r="W11" s="109">
        <v>42783</v>
      </c>
      <c r="X11" s="9">
        <v>3.29</v>
      </c>
      <c r="Y11" s="9">
        <v>3.3</v>
      </c>
      <c r="Z11" s="9">
        <v>3.23</v>
      </c>
      <c r="AA11" s="9">
        <v>3.29</v>
      </c>
      <c r="AB11" s="103">
        <v>26284300</v>
      </c>
      <c r="AC11" s="9">
        <v>3.29</v>
      </c>
      <c r="AD11" s="40">
        <f t="shared" si="2"/>
        <v>6.999999999999984E-2</v>
      </c>
      <c r="AE11" s="161">
        <f t="shared" si="3"/>
        <v>0</v>
      </c>
    </row>
    <row r="12" spans="1:31" x14ac:dyDescent="0.25">
      <c r="B12" s="501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W12" s="109">
        <v>42782</v>
      </c>
      <c r="X12" s="9">
        <v>3.34</v>
      </c>
      <c r="Y12" s="9">
        <v>3.39</v>
      </c>
      <c r="Z12" s="9">
        <v>3.26</v>
      </c>
      <c r="AA12" s="9">
        <v>3.29</v>
      </c>
      <c r="AB12" s="103">
        <v>24583700</v>
      </c>
      <c r="AC12" s="9">
        <v>3.29</v>
      </c>
      <c r="AD12" s="40">
        <f t="shared" si="2"/>
        <v>0.13000000000000034</v>
      </c>
      <c r="AE12" s="161">
        <f t="shared" si="3"/>
        <v>-3.0303030303029388E-3</v>
      </c>
    </row>
    <row r="13" spans="1:31" x14ac:dyDescent="0.25">
      <c r="B13" s="498">
        <v>42793</v>
      </c>
      <c r="C13" s="4">
        <v>700</v>
      </c>
      <c r="D13" s="2">
        <v>3.18</v>
      </c>
      <c r="E13" s="2">
        <v>0</v>
      </c>
      <c r="F13" s="2">
        <f t="shared" si="0"/>
        <v>2226</v>
      </c>
      <c r="G13" s="30"/>
      <c r="W13" s="109">
        <v>42781</v>
      </c>
      <c r="X13" s="9">
        <v>3.34</v>
      </c>
      <c r="Y13" s="9">
        <v>3.35</v>
      </c>
      <c r="Z13" s="9">
        <v>3.27</v>
      </c>
      <c r="AA13" s="9">
        <v>3.3</v>
      </c>
      <c r="AB13" s="103">
        <v>17069600</v>
      </c>
      <c r="AC13" s="9">
        <v>3.3</v>
      </c>
      <c r="AD13" s="40">
        <f t="shared" si="2"/>
        <v>8.0000000000000071E-2</v>
      </c>
      <c r="AE13" s="161">
        <f t="shared" si="3"/>
        <v>-1.19760479041916E-2</v>
      </c>
    </row>
    <row r="14" spans="1:31" x14ac:dyDescent="0.25">
      <c r="G14" s="30"/>
      <c r="W14" s="109">
        <v>42780</v>
      </c>
      <c r="X14" s="9">
        <v>3.28</v>
      </c>
      <c r="Y14" s="9">
        <v>3.35</v>
      </c>
      <c r="Z14" s="9">
        <v>3.27</v>
      </c>
      <c r="AA14" s="9">
        <v>3.34</v>
      </c>
      <c r="AB14" s="103">
        <v>16321600</v>
      </c>
      <c r="AC14" s="9">
        <v>3.34</v>
      </c>
      <c r="AD14" s="40">
        <f t="shared" si="2"/>
        <v>8.0000000000000071E-2</v>
      </c>
      <c r="AE14" s="161">
        <f t="shared" si="3"/>
        <v>1.8292682926829285E-2</v>
      </c>
    </row>
    <row r="15" spans="1:31" x14ac:dyDescent="0.25">
      <c r="G15" s="30"/>
      <c r="W15" s="109">
        <v>42779</v>
      </c>
      <c r="X15" s="9">
        <v>3.31</v>
      </c>
      <c r="Y15" s="9">
        <v>3.33</v>
      </c>
      <c r="Z15" s="9">
        <v>3.26</v>
      </c>
      <c r="AA15" s="9">
        <v>3.28</v>
      </c>
      <c r="AB15" s="103">
        <v>21575600</v>
      </c>
      <c r="AC15" s="9">
        <v>3.28</v>
      </c>
      <c r="AD15" s="40">
        <f t="shared" si="2"/>
        <v>7.0000000000000284E-2</v>
      </c>
      <c r="AE15" s="161">
        <f t="shared" si="3"/>
        <v>-9.0634441087613649E-3</v>
      </c>
    </row>
    <row r="16" spans="1:31" x14ac:dyDescent="0.25">
      <c r="G16" s="30"/>
      <c r="W16" s="109">
        <v>42776</v>
      </c>
      <c r="X16" s="9">
        <v>3.28</v>
      </c>
      <c r="Y16" s="9">
        <v>3.32</v>
      </c>
      <c r="Z16" s="9">
        <v>3.27</v>
      </c>
      <c r="AA16" s="9">
        <v>3.31</v>
      </c>
      <c r="AB16" s="103">
        <v>24498300</v>
      </c>
      <c r="AC16" s="9">
        <v>3.31</v>
      </c>
      <c r="AD16" s="40">
        <f t="shared" si="2"/>
        <v>4.9999999999999822E-2</v>
      </c>
      <c r="AE16" s="161">
        <f t="shared" si="3"/>
        <v>9.1463414634147533E-3</v>
      </c>
    </row>
    <row r="17" spans="1:31" x14ac:dyDescent="0.25">
      <c r="G17" s="30"/>
      <c r="H17" s="71"/>
      <c r="W17" s="109">
        <v>42775</v>
      </c>
      <c r="X17" s="9">
        <v>3.31</v>
      </c>
      <c r="Y17" s="9">
        <v>3.34</v>
      </c>
      <c r="Z17" s="9">
        <v>3.26</v>
      </c>
      <c r="AA17" s="9">
        <v>3.28</v>
      </c>
      <c r="AB17" s="103">
        <v>22776200</v>
      </c>
      <c r="AC17" s="9">
        <v>3.28</v>
      </c>
      <c r="AD17" s="40">
        <f t="shared" si="2"/>
        <v>8.0000000000000071E-2</v>
      </c>
      <c r="AE17" s="161">
        <f t="shared" si="3"/>
        <v>-6.0606060606060996E-3</v>
      </c>
    </row>
    <row r="18" spans="1:31" x14ac:dyDescent="0.25">
      <c r="A18" s="32" t="s">
        <v>81</v>
      </c>
      <c r="B18" s="14"/>
      <c r="C18" s="14">
        <f>SUM(C2:C17)</f>
        <v>5400</v>
      </c>
      <c r="D18" s="18"/>
      <c r="E18" s="18"/>
      <c r="F18" s="18">
        <f>SUM(F2:F17)</f>
        <v>19238</v>
      </c>
      <c r="G18" s="14"/>
      <c r="H18" s="14">
        <f>SUM(H2:H10)</f>
        <v>3400</v>
      </c>
      <c r="I18" s="18"/>
      <c r="J18" s="18"/>
      <c r="K18" s="18">
        <f>SUM(K2:K10)</f>
        <v>12567.220000000001</v>
      </c>
      <c r="L18" s="14"/>
      <c r="M18" s="18">
        <f>SUM(M2:M5)</f>
        <v>115.5</v>
      </c>
      <c r="W18" s="109">
        <v>42774</v>
      </c>
      <c r="X18" s="9">
        <v>3.28</v>
      </c>
      <c r="Y18" s="9">
        <v>3.3</v>
      </c>
      <c r="Z18" s="9">
        <v>3.25</v>
      </c>
      <c r="AA18" s="9">
        <v>3.3</v>
      </c>
      <c r="AB18" s="103">
        <v>17830200</v>
      </c>
      <c r="AC18" s="9">
        <v>3.3</v>
      </c>
      <c r="AD18" s="40">
        <f t="shared" si="2"/>
        <v>4.9999999999999822E-2</v>
      </c>
      <c r="AE18" s="161">
        <f t="shared" si="3"/>
        <v>9.1743119266054496E-3</v>
      </c>
    </row>
    <row r="19" spans="1:31" ht="15.75" thickBot="1" x14ac:dyDescent="0.3">
      <c r="A19" s="353" t="s">
        <v>197</v>
      </c>
      <c r="B19" s="354"/>
      <c r="C19" s="355">
        <f>SumByColor($A$19,C2:C17)</f>
        <v>3400</v>
      </c>
      <c r="D19" s="355"/>
      <c r="E19" s="355"/>
      <c r="F19" s="356">
        <f>SumByColor($A$19,F2:F17)</f>
        <v>12404</v>
      </c>
      <c r="G19" s="355"/>
      <c r="H19" s="355">
        <f>SumByColor($A$19,H2:H17)</f>
        <v>3400</v>
      </c>
      <c r="I19" s="355"/>
      <c r="J19" s="355"/>
      <c r="K19" s="356">
        <f>SumByColor($A$19,K2:K17)</f>
        <v>12567</v>
      </c>
      <c r="L19" s="355"/>
      <c r="M19" s="582">
        <f>SumByColor($A$19,M2:M17)</f>
        <v>116</v>
      </c>
      <c r="W19" s="109">
        <v>42773</v>
      </c>
      <c r="X19" s="9">
        <v>3.33</v>
      </c>
      <c r="Y19" s="9">
        <v>3.35</v>
      </c>
      <c r="Z19" s="9">
        <v>3.26</v>
      </c>
      <c r="AA19" s="9">
        <v>3.27</v>
      </c>
      <c r="AB19" s="103">
        <v>24336000</v>
      </c>
      <c r="AC19" s="9">
        <v>3.27</v>
      </c>
      <c r="AD19" s="40">
        <f t="shared" si="2"/>
        <v>9.0000000000000302E-2</v>
      </c>
      <c r="AE19" s="161">
        <f t="shared" si="3"/>
        <v>-1.8018018018018056E-2</v>
      </c>
    </row>
    <row r="20" spans="1:31" x14ac:dyDescent="0.25">
      <c r="W20" s="109">
        <v>42772</v>
      </c>
      <c r="X20" s="9">
        <v>3.44</v>
      </c>
      <c r="Y20" s="9">
        <v>3.48</v>
      </c>
      <c r="Z20" s="9">
        <v>3.29</v>
      </c>
      <c r="AA20" s="9">
        <v>3.33</v>
      </c>
      <c r="AB20" s="103">
        <v>25745500</v>
      </c>
      <c r="AC20" s="9">
        <v>3.33</v>
      </c>
      <c r="AD20" s="40">
        <f t="shared" si="2"/>
        <v>0.18999999999999995</v>
      </c>
      <c r="AE20" s="161">
        <f t="shared" si="3"/>
        <v>-2.6315789473684181E-2</v>
      </c>
    </row>
    <row r="21" spans="1:31" x14ac:dyDescent="0.25">
      <c r="W21" s="109">
        <v>42769</v>
      </c>
      <c r="X21" s="9">
        <v>3.37</v>
      </c>
      <c r="Y21" s="9">
        <v>3.44</v>
      </c>
      <c r="Z21" s="9">
        <v>3.37</v>
      </c>
      <c r="AA21" s="9">
        <v>3.42</v>
      </c>
      <c r="AB21" s="103">
        <v>15134300</v>
      </c>
      <c r="AC21" s="9">
        <v>3.42</v>
      </c>
      <c r="AD21" s="40">
        <f t="shared" si="2"/>
        <v>6.999999999999984E-2</v>
      </c>
      <c r="AE21" s="161">
        <f t="shared" si="3"/>
        <v>1.4836795252225476E-2</v>
      </c>
    </row>
    <row r="22" spans="1:31" x14ac:dyDescent="0.25">
      <c r="W22" s="109">
        <v>42768</v>
      </c>
      <c r="X22" s="9">
        <v>3.41</v>
      </c>
      <c r="Y22" s="9">
        <v>3.42</v>
      </c>
      <c r="Z22" s="9">
        <v>3.33</v>
      </c>
      <c r="AA22" s="9">
        <v>3.37</v>
      </c>
      <c r="AB22" s="103">
        <v>15467700</v>
      </c>
      <c r="AC22" s="9">
        <v>3.37</v>
      </c>
      <c r="AD22" s="40">
        <f t="shared" si="2"/>
        <v>8.9999999999999858E-2</v>
      </c>
      <c r="AE22" s="161">
        <f t="shared" si="3"/>
        <v>-1.1730205278592365E-2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42767</v>
      </c>
      <c r="X23" s="9">
        <v>3.44</v>
      </c>
      <c r="Y23" s="9">
        <v>3.5</v>
      </c>
      <c r="Z23" s="9">
        <v>3.37</v>
      </c>
      <c r="AA23" s="9">
        <v>3.41</v>
      </c>
      <c r="AB23" s="103">
        <v>23634100</v>
      </c>
      <c r="AC23" s="9">
        <v>3.41</v>
      </c>
      <c r="AD23" s="40">
        <f t="shared" si="2"/>
        <v>0.12999999999999989</v>
      </c>
      <c r="AE23" s="161">
        <f t="shared" si="3"/>
        <v>-2.2922636103151928E-2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228" t="s">
        <v>155</v>
      </c>
      <c r="W24" s="109">
        <v>42766</v>
      </c>
      <c r="X24" s="9">
        <v>3.47</v>
      </c>
      <c r="Y24" s="9">
        <v>3.51</v>
      </c>
      <c r="Z24" s="9">
        <v>3.44</v>
      </c>
      <c r="AA24" s="9">
        <v>3.49</v>
      </c>
      <c r="AB24" s="103">
        <v>16486300</v>
      </c>
      <c r="AC24" s="9">
        <v>3.49</v>
      </c>
      <c r="AD24" s="40">
        <f t="shared" si="2"/>
        <v>6.999999999999984E-2</v>
      </c>
      <c r="AE24" s="161">
        <f t="shared" si="3"/>
        <v>0</v>
      </c>
    </row>
    <row r="25" spans="1:31" x14ac:dyDescent="0.25">
      <c r="B25" s="192">
        <v>42629</v>
      </c>
      <c r="C25" s="236">
        <v>400</v>
      </c>
      <c r="D25" s="536">
        <v>4.28</v>
      </c>
      <c r="E25" s="40">
        <v>4.28</v>
      </c>
      <c r="F25" s="40">
        <f t="shared" ref="F25:F31" si="4">C25*(E25-D25)</f>
        <v>0</v>
      </c>
      <c r="G25" s="40">
        <f t="shared" ref="G25:G31" si="5">D25*C25</f>
        <v>1712</v>
      </c>
      <c r="H25" s="231">
        <f t="shared" ref="H25:H31" si="6">(E25-D25)/D25</f>
        <v>0</v>
      </c>
      <c r="I25" s="40"/>
      <c r="W25" s="109">
        <v>42765</v>
      </c>
      <c r="X25" s="9">
        <v>3.51</v>
      </c>
      <c r="Y25" s="9">
        <v>3.53</v>
      </c>
      <c r="Z25" s="9">
        <v>3.44</v>
      </c>
      <c r="AA25" s="9">
        <v>3.49</v>
      </c>
      <c r="AB25" s="103">
        <v>17720700</v>
      </c>
      <c r="AC25" s="9">
        <v>3.49</v>
      </c>
      <c r="AD25" s="40">
        <f t="shared" si="2"/>
        <v>8.9999999999999858E-2</v>
      </c>
      <c r="AE25" s="161">
        <f t="shared" si="3"/>
        <v>-1.412429378531066E-2</v>
      </c>
    </row>
    <row r="26" spans="1:31" x14ac:dyDescent="0.25">
      <c r="B26" s="192">
        <v>42632</v>
      </c>
      <c r="C26" s="10">
        <v>400</v>
      </c>
      <c r="D26" s="201">
        <v>4.28</v>
      </c>
      <c r="E26" s="40">
        <v>4.3</v>
      </c>
      <c r="F26" s="40">
        <f t="shared" si="4"/>
        <v>7.9999999999998295</v>
      </c>
      <c r="G26" s="40">
        <f t="shared" si="5"/>
        <v>1712</v>
      </c>
      <c r="H26" s="231">
        <f t="shared" si="6"/>
        <v>4.6728971962615821E-3</v>
      </c>
      <c r="I26" s="40"/>
      <c r="W26" s="109">
        <v>42762</v>
      </c>
      <c r="X26" s="9">
        <v>3.51</v>
      </c>
      <c r="Y26" s="9">
        <v>3.54</v>
      </c>
      <c r="Z26" s="9">
        <v>3.47</v>
      </c>
      <c r="AA26" s="9">
        <v>3.54</v>
      </c>
      <c r="AB26" s="103">
        <v>10969900</v>
      </c>
      <c r="AC26" s="9">
        <v>3.54</v>
      </c>
      <c r="AD26" s="40">
        <f t="shared" si="2"/>
        <v>6.999999999999984E-2</v>
      </c>
      <c r="AE26" s="161">
        <f t="shared" si="3"/>
        <v>1.1428571428571344E-2</v>
      </c>
    </row>
    <row r="27" spans="1:31" x14ac:dyDescent="0.25">
      <c r="B27" s="192">
        <v>42633</v>
      </c>
      <c r="C27" s="10">
        <v>400</v>
      </c>
      <c r="D27" s="201">
        <v>4.28</v>
      </c>
      <c r="E27" s="40">
        <v>4.21</v>
      </c>
      <c r="F27" s="40">
        <f t="shared" si="4"/>
        <v>-28.000000000000114</v>
      </c>
      <c r="G27" s="40">
        <f t="shared" si="5"/>
        <v>1712</v>
      </c>
      <c r="H27" s="231">
        <f t="shared" si="6"/>
        <v>-1.6355140186915952E-2</v>
      </c>
      <c r="I27" s="40"/>
      <c r="W27" s="109">
        <v>42761</v>
      </c>
      <c r="X27" s="9">
        <v>3.42</v>
      </c>
      <c r="Y27" s="9">
        <v>3.5</v>
      </c>
      <c r="Z27" s="9">
        <v>3.42</v>
      </c>
      <c r="AA27" s="9">
        <v>3.5</v>
      </c>
      <c r="AB27" s="103">
        <v>11650600</v>
      </c>
      <c r="AC27" s="9">
        <v>3.5</v>
      </c>
      <c r="AD27" s="40">
        <f t="shared" si="2"/>
        <v>8.0000000000000071E-2</v>
      </c>
      <c r="AE27" s="161">
        <f t="shared" si="3"/>
        <v>1.744186046511631E-2</v>
      </c>
    </row>
    <row r="28" spans="1:31" x14ac:dyDescent="0.25">
      <c r="B28" s="192">
        <v>42634</v>
      </c>
      <c r="C28" s="7">
        <v>800</v>
      </c>
      <c r="D28" s="535">
        <v>4.18</v>
      </c>
      <c r="E28" s="40">
        <v>4.13</v>
      </c>
      <c r="F28" s="40">
        <f t="shared" si="4"/>
        <v>-39.999999999999858</v>
      </c>
      <c r="G28" s="40">
        <f t="shared" si="5"/>
        <v>3344</v>
      </c>
      <c r="H28" s="231">
        <f t="shared" si="6"/>
        <v>-1.1961722488038236E-2</v>
      </c>
      <c r="I28" s="40"/>
      <c r="W28" s="109">
        <v>42760</v>
      </c>
      <c r="X28" s="9">
        <v>3.5</v>
      </c>
      <c r="Y28" s="9">
        <v>3.52</v>
      </c>
      <c r="Z28" s="9">
        <v>3.4</v>
      </c>
      <c r="AA28" s="9">
        <v>3.44</v>
      </c>
      <c r="AB28" s="103">
        <v>18150300</v>
      </c>
      <c r="AC28" s="9">
        <v>3.44</v>
      </c>
      <c r="AD28" s="40">
        <f t="shared" si="2"/>
        <v>0.12000000000000011</v>
      </c>
      <c r="AE28" s="161">
        <f t="shared" si="3"/>
        <v>-8.6455331412104153E-3</v>
      </c>
    </row>
    <row r="29" spans="1:31" x14ac:dyDescent="0.25">
      <c r="B29" s="192">
        <v>42635</v>
      </c>
      <c r="C29" s="10">
        <v>400</v>
      </c>
      <c r="D29" s="201">
        <v>4.1600999999999999</v>
      </c>
      <c r="E29" s="40">
        <v>4.33</v>
      </c>
      <c r="F29" s="235">
        <f t="shared" si="4"/>
        <v>67.960000000000065</v>
      </c>
      <c r="G29" s="40">
        <f t="shared" si="5"/>
        <v>1664.04</v>
      </c>
      <c r="H29" s="231">
        <f t="shared" si="6"/>
        <v>4.0840364414317001E-2</v>
      </c>
      <c r="I29" s="40"/>
      <c r="W29" s="109">
        <v>42759</v>
      </c>
      <c r="X29" s="9">
        <v>3.57</v>
      </c>
      <c r="Y29" s="9">
        <v>3.58</v>
      </c>
      <c r="Z29" s="9">
        <v>3.46</v>
      </c>
      <c r="AA29" s="9">
        <v>3.47</v>
      </c>
      <c r="AB29" s="103">
        <v>15740400</v>
      </c>
      <c r="AC29" s="9">
        <v>3.47</v>
      </c>
      <c r="AD29" s="40">
        <f t="shared" si="2"/>
        <v>0.12000000000000011</v>
      </c>
      <c r="AE29" s="161">
        <f t="shared" si="3"/>
        <v>-1.9774011299435013E-2</v>
      </c>
    </row>
    <row r="30" spans="1:31" x14ac:dyDescent="0.25">
      <c r="B30" s="192">
        <v>42643</v>
      </c>
      <c r="C30" s="10">
        <v>400</v>
      </c>
      <c r="D30" s="201">
        <v>4.1600999999999999</v>
      </c>
      <c r="E30" s="40">
        <v>4.16</v>
      </c>
      <c r="F30" s="235">
        <f t="shared" si="4"/>
        <v>-3.9999999999906777E-2</v>
      </c>
      <c r="G30" s="40">
        <f t="shared" si="5"/>
        <v>1664.04</v>
      </c>
      <c r="H30" s="231">
        <f t="shared" si="6"/>
        <v>-2.4037883704662615E-5</v>
      </c>
      <c r="I30" s="40"/>
      <c r="W30" s="109">
        <v>42758</v>
      </c>
      <c r="X30" s="9">
        <v>3.49</v>
      </c>
      <c r="Y30" s="9">
        <v>3.55</v>
      </c>
      <c r="Z30" s="9">
        <v>3.45</v>
      </c>
      <c r="AA30" s="9">
        <v>3.54</v>
      </c>
      <c r="AB30" s="103">
        <v>10992400</v>
      </c>
      <c r="AC30" s="9">
        <v>3.54</v>
      </c>
      <c r="AD30" s="40">
        <f t="shared" si="2"/>
        <v>9.9999999999999645E-2</v>
      </c>
      <c r="AE30" s="161">
        <f t="shared" si="3"/>
        <v>1.4326647564469885E-2</v>
      </c>
    </row>
    <row r="31" spans="1:31" x14ac:dyDescent="0.25">
      <c r="B31" s="192">
        <v>42648</v>
      </c>
      <c r="C31" s="7">
        <v>800</v>
      </c>
      <c r="D31" s="535">
        <v>4.0900499999999997</v>
      </c>
      <c r="E31" s="40">
        <v>4.03</v>
      </c>
      <c r="F31" s="235">
        <f t="shared" si="4"/>
        <v>-48.039999999999594</v>
      </c>
      <c r="G31" s="40">
        <f t="shared" si="5"/>
        <v>3272.04</v>
      </c>
      <c r="H31" s="231">
        <f t="shared" si="6"/>
        <v>-1.4681972103030402E-2</v>
      </c>
      <c r="I31" s="535">
        <v>4</v>
      </c>
      <c r="W31" s="109">
        <v>42755</v>
      </c>
      <c r="X31" s="9">
        <v>3.49</v>
      </c>
      <c r="Y31" s="9">
        <v>3.53</v>
      </c>
      <c r="Z31" s="9">
        <v>3.41</v>
      </c>
      <c r="AA31" s="9">
        <v>3.49</v>
      </c>
      <c r="AB31" s="103">
        <v>18377200</v>
      </c>
      <c r="AC31" s="9">
        <v>3.49</v>
      </c>
      <c r="AD31" s="40">
        <f t="shared" si="2"/>
        <v>0.11999999999999966</v>
      </c>
      <c r="AE31" s="161">
        <f t="shared" si="3"/>
        <v>2.8735632183909399E-3</v>
      </c>
    </row>
    <row r="32" spans="1:31" x14ac:dyDescent="0.25">
      <c r="B32" s="192">
        <v>42649</v>
      </c>
      <c r="C32" s="10">
        <v>800</v>
      </c>
      <c r="D32" s="201">
        <v>4.0900499999999997</v>
      </c>
      <c r="E32" s="40">
        <v>3.99</v>
      </c>
      <c r="F32" s="235">
        <f>C32*(E32-D32)</f>
        <v>-80.039999999999623</v>
      </c>
      <c r="G32" s="40">
        <f>D32*C32</f>
        <v>3272.04</v>
      </c>
      <c r="H32" s="231">
        <f>(E32-D32)/D32</f>
        <v>-2.4461803645432094E-2</v>
      </c>
      <c r="I32" s="40"/>
      <c r="W32" s="109">
        <v>42754</v>
      </c>
      <c r="X32" s="9">
        <v>3.52</v>
      </c>
      <c r="Y32" s="9">
        <v>3.54</v>
      </c>
      <c r="Z32" s="9">
        <v>3.41</v>
      </c>
      <c r="AA32" s="9">
        <v>3.48</v>
      </c>
      <c r="AB32" s="103">
        <v>18512500</v>
      </c>
      <c r="AC32" s="9">
        <v>3.48</v>
      </c>
      <c r="AD32" s="40">
        <f t="shared" si="2"/>
        <v>0.12999999999999989</v>
      </c>
      <c r="AE32" s="161">
        <f t="shared" si="3"/>
        <v>-1.6949152542372947E-2</v>
      </c>
    </row>
    <row r="33" spans="2:31" x14ac:dyDescent="0.25">
      <c r="B33" s="192">
        <v>42650</v>
      </c>
      <c r="C33" s="10">
        <v>800</v>
      </c>
      <c r="D33" s="201">
        <v>4.0900499999999997</v>
      </c>
      <c r="E33" s="40">
        <v>4.2300000000000004</v>
      </c>
      <c r="F33" s="235">
        <f>C33*(E33-D33)</f>
        <v>111.96000000000055</v>
      </c>
      <c r="G33" s="40">
        <f>D33*C33</f>
        <v>3272.04</v>
      </c>
      <c r="H33" s="231">
        <f>(E33-D33)/D33</f>
        <v>3.4217185608978053E-2</v>
      </c>
      <c r="I33" s="201" t="s">
        <v>307</v>
      </c>
      <c r="W33" s="109">
        <v>42753</v>
      </c>
      <c r="X33" s="9">
        <v>3.57</v>
      </c>
      <c r="Y33" s="9">
        <v>3.59</v>
      </c>
      <c r="Z33" s="9">
        <v>3.51</v>
      </c>
      <c r="AA33" s="9">
        <v>3.54</v>
      </c>
      <c r="AB33" s="103">
        <v>8947600</v>
      </c>
      <c r="AC33" s="9">
        <v>3.54</v>
      </c>
      <c r="AD33" s="40">
        <f t="shared" si="2"/>
        <v>8.0000000000000071E-2</v>
      </c>
      <c r="AE33" s="161">
        <f t="shared" si="3"/>
        <v>-2.8169014084505895E-3</v>
      </c>
    </row>
    <row r="34" spans="2:31" x14ac:dyDescent="0.25">
      <c r="B34" s="192">
        <v>42661</v>
      </c>
      <c r="C34" s="10">
        <v>800</v>
      </c>
      <c r="D34" s="201">
        <v>4.0900499999999997</v>
      </c>
      <c r="E34" s="40">
        <v>4.08</v>
      </c>
      <c r="F34" s="235">
        <f t="shared" ref="F34:F40" si="7">C34*(E34-D34)</f>
        <v>-8.0399999999997362</v>
      </c>
      <c r="G34" s="40">
        <f t="shared" ref="G34:G40" si="8">D34*C34</f>
        <v>3272.04</v>
      </c>
      <c r="H34" s="231">
        <f t="shared" ref="H34:H40" si="9">(E34-D34)/D34</f>
        <v>-2.4571826750283423E-3</v>
      </c>
      <c r="I34" s="40"/>
      <c r="W34" s="109">
        <v>42752</v>
      </c>
      <c r="X34" s="9">
        <v>3.55</v>
      </c>
      <c r="Y34" s="9">
        <v>3.57</v>
      </c>
      <c r="Z34" s="9">
        <v>3.51</v>
      </c>
      <c r="AA34" s="9">
        <v>3.55</v>
      </c>
      <c r="AB34" s="103">
        <v>9701200</v>
      </c>
      <c r="AC34" s="9">
        <v>3.55</v>
      </c>
      <c r="AD34" s="40">
        <f t="shared" si="2"/>
        <v>6.0000000000000053E-2</v>
      </c>
      <c r="AE34" s="161">
        <f t="shared" si="3"/>
        <v>2.8248587570620654E-3</v>
      </c>
    </row>
    <row r="35" spans="2:31" x14ac:dyDescent="0.25">
      <c r="B35" s="192">
        <v>42670</v>
      </c>
      <c r="C35" s="236">
        <v>400</v>
      </c>
      <c r="D35" s="536">
        <v>3.9802</v>
      </c>
      <c r="E35" s="40">
        <v>4.17</v>
      </c>
      <c r="F35" s="235">
        <f t="shared" si="7"/>
        <v>75.919999999999987</v>
      </c>
      <c r="G35" s="40">
        <f t="shared" si="8"/>
        <v>1592.08</v>
      </c>
      <c r="H35" s="231">
        <f t="shared" si="9"/>
        <v>4.7686045927340326E-2</v>
      </c>
      <c r="I35" s="536">
        <v>3.9</v>
      </c>
      <c r="W35" s="109">
        <v>42748</v>
      </c>
      <c r="X35" s="9">
        <v>3.53</v>
      </c>
      <c r="Y35" s="9">
        <v>3.57</v>
      </c>
      <c r="Z35" s="9">
        <v>3.52</v>
      </c>
      <c r="AA35" s="9">
        <v>3.54</v>
      </c>
      <c r="AB35" s="103">
        <v>8053400</v>
      </c>
      <c r="AC35" s="9">
        <v>3.54</v>
      </c>
      <c r="AD35" s="40">
        <f t="shared" si="2"/>
        <v>4.9999999999999822E-2</v>
      </c>
      <c r="AE35" s="161">
        <f t="shared" si="3"/>
        <v>2.8328611898018607E-3</v>
      </c>
    </row>
    <row r="36" spans="2:31" x14ac:dyDescent="0.25">
      <c r="B36" s="192">
        <v>42674</v>
      </c>
      <c r="C36" s="7">
        <v>800</v>
      </c>
      <c r="D36" s="535">
        <v>4.0000999999999998</v>
      </c>
      <c r="E36" s="40">
        <v>4.0199999999999996</v>
      </c>
      <c r="F36" s="235">
        <f t="shared" si="7"/>
        <v>15.919999999999845</v>
      </c>
      <c r="G36" s="40">
        <f t="shared" si="8"/>
        <v>3200.08</v>
      </c>
      <c r="H36" s="231">
        <f t="shared" si="9"/>
        <v>4.9748756281092496E-3</v>
      </c>
      <c r="I36" s="535" t="s">
        <v>315</v>
      </c>
      <c r="W36" s="109">
        <v>42747</v>
      </c>
      <c r="X36" s="9">
        <v>3.61</v>
      </c>
      <c r="Y36" s="9">
        <v>3.62</v>
      </c>
      <c r="Z36" s="9">
        <v>3.5</v>
      </c>
      <c r="AA36" s="9">
        <v>3.53</v>
      </c>
      <c r="AB36" s="103">
        <v>17894300</v>
      </c>
      <c r="AC36" s="9">
        <v>3.53</v>
      </c>
      <c r="AD36" s="40">
        <f t="shared" si="2"/>
        <v>0.12000000000000011</v>
      </c>
      <c r="AE36" s="161">
        <f t="shared" si="3"/>
        <v>-2.2160664819944609E-2</v>
      </c>
    </row>
    <row r="37" spans="2:31" x14ac:dyDescent="0.25">
      <c r="B37" s="192">
        <v>42676</v>
      </c>
      <c r="C37" s="10">
        <v>1100</v>
      </c>
      <c r="D37" s="201">
        <v>3.8882500000000002</v>
      </c>
      <c r="E37" s="40">
        <v>3.39</v>
      </c>
      <c r="F37" s="235">
        <f t="shared" si="7"/>
        <v>-548.07500000000005</v>
      </c>
      <c r="G37" s="40">
        <f t="shared" si="8"/>
        <v>4277.0749999999998</v>
      </c>
      <c r="H37" s="231">
        <f t="shared" si="9"/>
        <v>-0.12814248055037614</v>
      </c>
      <c r="I37" s="40"/>
      <c r="W37" s="109">
        <v>42746</v>
      </c>
      <c r="X37" s="9">
        <v>3.63</v>
      </c>
      <c r="Y37" s="9">
        <v>3.7</v>
      </c>
      <c r="Z37" s="9">
        <v>3.55</v>
      </c>
      <c r="AA37" s="9">
        <v>3.61</v>
      </c>
      <c r="AB37" s="103">
        <v>14853600</v>
      </c>
      <c r="AC37" s="9">
        <v>3.61</v>
      </c>
      <c r="AD37" s="40">
        <f t="shared" si="2"/>
        <v>0.15000000000000036</v>
      </c>
      <c r="AE37" s="161">
        <f t="shared" si="3"/>
        <v>-5.5096418732782926E-3</v>
      </c>
    </row>
    <row r="38" spans="2:31" x14ac:dyDescent="0.25">
      <c r="B38" s="192">
        <v>42678</v>
      </c>
      <c r="C38" s="583">
        <v>1500</v>
      </c>
      <c r="D38" s="584">
        <v>3.6860499999999998</v>
      </c>
      <c r="E38" s="40">
        <v>3.12</v>
      </c>
      <c r="F38" s="235">
        <f t="shared" si="7"/>
        <v>-849.07499999999959</v>
      </c>
      <c r="G38" s="40">
        <f t="shared" si="8"/>
        <v>5529.0749999999998</v>
      </c>
      <c r="H38" s="231">
        <f t="shared" si="9"/>
        <v>-0.15356546981185815</v>
      </c>
      <c r="I38" s="40"/>
      <c r="W38" s="109">
        <v>42745</v>
      </c>
      <c r="X38" s="9">
        <v>3.69</v>
      </c>
      <c r="Y38" s="9">
        <v>3.71</v>
      </c>
      <c r="Z38" s="9">
        <v>3.61</v>
      </c>
      <c r="AA38" s="9">
        <v>3.63</v>
      </c>
      <c r="AB38" s="103">
        <v>18368300</v>
      </c>
      <c r="AC38" s="9">
        <v>3.63</v>
      </c>
      <c r="AD38" s="40">
        <f t="shared" si="2"/>
        <v>0.10000000000000009</v>
      </c>
      <c r="AE38" s="161">
        <f t="shared" si="3"/>
        <v>-1.3586956521739246E-2</v>
      </c>
    </row>
    <row r="39" spans="2:31" x14ac:dyDescent="0.25">
      <c r="B39" s="192">
        <v>42701</v>
      </c>
      <c r="C39" s="10">
        <v>1100</v>
      </c>
      <c r="D39" s="201">
        <v>3.7101000000000002</v>
      </c>
      <c r="E39" s="40">
        <v>3.69</v>
      </c>
      <c r="F39" s="235">
        <f t="shared" si="7"/>
        <v>-22.110000000000252</v>
      </c>
      <c r="G39" s="40">
        <f t="shared" si="8"/>
        <v>4081.11</v>
      </c>
      <c r="H39" s="231">
        <f t="shared" si="9"/>
        <v>-5.4176437292795957E-3</v>
      </c>
      <c r="I39" s="40"/>
      <c r="W39" s="109">
        <v>42744</v>
      </c>
      <c r="X39" s="9">
        <v>3.76</v>
      </c>
      <c r="Y39" s="9">
        <v>3.79</v>
      </c>
      <c r="Z39" s="9">
        <v>3.62</v>
      </c>
      <c r="AA39" s="9">
        <v>3.68</v>
      </c>
      <c r="AB39" s="103">
        <v>32815300</v>
      </c>
      <c r="AC39" s="9">
        <v>3.68</v>
      </c>
      <c r="AD39" s="40">
        <f t="shared" si="2"/>
        <v>0.16999999999999993</v>
      </c>
      <c r="AE39" s="161">
        <f t="shared" si="3"/>
        <v>-1.8666666666666609E-2</v>
      </c>
    </row>
    <row r="40" spans="2:31" ht="20.25" thickBot="1" x14ac:dyDescent="0.35">
      <c r="B40" s="192">
        <v>42702</v>
      </c>
      <c r="C40" s="10">
        <v>700</v>
      </c>
      <c r="D40" s="201">
        <v>3.6873399999999998</v>
      </c>
      <c r="E40" s="40">
        <v>3.74</v>
      </c>
      <c r="F40" s="235">
        <f t="shared" si="7"/>
        <v>36.862000000000265</v>
      </c>
      <c r="G40" s="40">
        <f t="shared" si="8"/>
        <v>2581.1379999999999</v>
      </c>
      <c r="H40" s="231">
        <f t="shared" si="9"/>
        <v>1.4281297629185369E-2</v>
      </c>
      <c r="I40" s="40"/>
      <c r="O40" s="703" t="s">
        <v>78</v>
      </c>
      <c r="P40" s="703"/>
      <c r="W40" s="109">
        <v>42741</v>
      </c>
      <c r="X40" s="9">
        <v>3.75</v>
      </c>
      <c r="Y40" s="9">
        <v>3.82</v>
      </c>
      <c r="Z40" s="9">
        <v>3.65</v>
      </c>
      <c r="AA40" s="9">
        <v>3.75</v>
      </c>
      <c r="AB40" s="103">
        <v>57214700</v>
      </c>
      <c r="AC40" s="9">
        <v>3.75</v>
      </c>
      <c r="AD40" s="40">
        <f t="shared" si="2"/>
        <v>0.16999999999999993</v>
      </c>
      <c r="AE40" s="161">
        <f t="shared" si="3"/>
        <v>5.3619302949061698E-3</v>
      </c>
    </row>
    <row r="41" spans="2:31" ht="15.75" thickTop="1" x14ac:dyDescent="0.25">
      <c r="B41" s="192">
        <v>42705</v>
      </c>
      <c r="C41" s="10">
        <v>700</v>
      </c>
      <c r="D41" s="201">
        <v>3.6873399999999998</v>
      </c>
      <c r="E41" s="40">
        <v>3.51</v>
      </c>
      <c r="F41" s="235">
        <f t="shared" ref="F41:F54" si="10">C41*(E41-D41)</f>
        <v>-124.13800000000003</v>
      </c>
      <c r="G41" s="40">
        <f t="shared" ref="G41:G54" si="11">D41*C41</f>
        <v>2581.1379999999999</v>
      </c>
      <c r="H41" s="231">
        <f t="shared" ref="H41:H54" si="12">(E41-D41)/D41</f>
        <v>-4.809429019293042E-2</v>
      </c>
      <c r="I41" s="40"/>
      <c r="O41" s="82">
        <v>1.1000000000000001</v>
      </c>
      <c r="P41" s="82">
        <f>O41*$Q$4</f>
        <v>2.9370000000000003</v>
      </c>
      <c r="Q41" s="2"/>
      <c r="W41" s="109">
        <v>42740</v>
      </c>
      <c r="X41" s="9">
        <v>3.69</v>
      </c>
      <c r="Y41" s="9">
        <v>3.76</v>
      </c>
      <c r="Z41" s="9">
        <v>3.66</v>
      </c>
      <c r="AA41" s="9">
        <v>3.73</v>
      </c>
      <c r="AB41" s="103">
        <v>40947600</v>
      </c>
      <c r="AC41" s="9">
        <v>3.73</v>
      </c>
      <c r="AD41" s="40">
        <f t="shared" si="2"/>
        <v>9.9999999999999645E-2</v>
      </c>
      <c r="AE41" s="161">
        <f t="shared" si="3"/>
        <v>1.6348773841961872E-2</v>
      </c>
    </row>
    <row r="42" spans="2:31" ht="20.25" thickBot="1" x14ac:dyDescent="0.35">
      <c r="B42" s="192">
        <v>42713</v>
      </c>
      <c r="C42" s="10">
        <v>700</v>
      </c>
      <c r="D42" s="201">
        <v>3.6873399999999998</v>
      </c>
      <c r="E42" s="40">
        <v>3.67</v>
      </c>
      <c r="F42" s="235">
        <f t="shared" si="10"/>
        <v>-12.137999999999938</v>
      </c>
      <c r="G42" s="40">
        <f t="shared" si="11"/>
        <v>2581.1379999999999</v>
      </c>
      <c r="H42" s="231">
        <f t="shared" si="12"/>
        <v>-4.7025769253716534E-3</v>
      </c>
      <c r="I42" s="40"/>
      <c r="O42" s="82">
        <v>1.0900000000000001</v>
      </c>
      <c r="P42" s="82">
        <f t="shared" ref="P42:P61" si="13">O42*$Q$4</f>
        <v>2.9103000000000003</v>
      </c>
      <c r="Q42" s="2"/>
      <c r="T42" s="90" t="s">
        <v>113</v>
      </c>
      <c r="W42" s="109">
        <v>42739</v>
      </c>
      <c r="X42" s="9">
        <v>3.6</v>
      </c>
      <c r="Y42" s="9">
        <v>3.67</v>
      </c>
      <c r="Z42" s="9">
        <v>3.58</v>
      </c>
      <c r="AA42" s="9">
        <v>3.67</v>
      </c>
      <c r="AB42" s="103">
        <v>24640300</v>
      </c>
      <c r="AC42" s="9">
        <v>3.67</v>
      </c>
      <c r="AD42" s="40">
        <f t="shared" si="2"/>
        <v>8.9999999999999858E-2</v>
      </c>
      <c r="AE42" s="161">
        <f t="shared" si="3"/>
        <v>2.5139664804469275E-2</v>
      </c>
    </row>
    <row r="43" spans="2:31" ht="15.75" thickTop="1" x14ac:dyDescent="0.25">
      <c r="B43" s="192">
        <v>42716</v>
      </c>
      <c r="C43" s="10">
        <v>1100</v>
      </c>
      <c r="D43" s="201">
        <v>3.641</v>
      </c>
      <c r="E43" s="40">
        <v>3.49</v>
      </c>
      <c r="F43" s="235">
        <f t="shared" si="10"/>
        <v>-166.0999999999998</v>
      </c>
      <c r="G43" s="40">
        <f t="shared" si="11"/>
        <v>4005.1</v>
      </c>
      <c r="H43" s="231">
        <f t="shared" si="12"/>
        <v>-4.1472123043119966E-2</v>
      </c>
      <c r="I43" s="40"/>
      <c r="O43" s="82">
        <v>1.08</v>
      </c>
      <c r="P43" s="82">
        <f t="shared" si="13"/>
        <v>2.8835999999999999</v>
      </c>
      <c r="Q43" s="2"/>
      <c r="T43" s="127" t="s">
        <v>98</v>
      </c>
      <c r="U43" s="97">
        <v>2.81</v>
      </c>
      <c r="W43" s="109">
        <v>42738</v>
      </c>
      <c r="X43" s="9">
        <v>3.4</v>
      </c>
      <c r="Y43" s="9">
        <v>3.6</v>
      </c>
      <c r="Z43" s="9">
        <v>3.39</v>
      </c>
      <c r="AA43" s="9">
        <v>3.58</v>
      </c>
      <c r="AB43" s="103">
        <v>34407600</v>
      </c>
      <c r="AC43" s="9">
        <v>3.58</v>
      </c>
      <c r="AD43" s="40">
        <f t="shared" si="2"/>
        <v>0.20999999999999996</v>
      </c>
      <c r="AE43" s="161">
        <f t="shared" si="3"/>
        <v>5.9171597633136175E-2</v>
      </c>
    </row>
    <row r="44" spans="2:31" x14ac:dyDescent="0.25">
      <c r="B44" s="192">
        <v>42725</v>
      </c>
      <c r="C44" s="10">
        <v>1800</v>
      </c>
      <c r="D44" s="201">
        <v>3.5200800000000001</v>
      </c>
      <c r="E44" s="40">
        <v>3.29</v>
      </c>
      <c r="F44" s="235">
        <f t="shared" si="10"/>
        <v>-414.14400000000012</v>
      </c>
      <c r="G44" s="40">
        <f t="shared" si="11"/>
        <v>6336.1440000000002</v>
      </c>
      <c r="H44" s="231">
        <f t="shared" si="12"/>
        <v>-6.5362150860207732E-2</v>
      </c>
      <c r="I44" s="40"/>
      <c r="O44" s="82">
        <v>1.07</v>
      </c>
      <c r="P44" s="82">
        <f t="shared" si="13"/>
        <v>2.8569</v>
      </c>
      <c r="Q44" s="2"/>
      <c r="T44" s="92" t="s">
        <v>99</v>
      </c>
      <c r="U44" s="87">
        <v>2.85</v>
      </c>
      <c r="W44" s="109">
        <v>42734</v>
      </c>
      <c r="X44" s="9">
        <v>3.38</v>
      </c>
      <c r="Y44" s="9">
        <v>3.42</v>
      </c>
      <c r="Z44" s="9">
        <v>3.35</v>
      </c>
      <c r="AA44" s="9">
        <v>3.38</v>
      </c>
      <c r="AB44" s="103">
        <v>20394600</v>
      </c>
      <c r="AC44" s="9">
        <v>3.38</v>
      </c>
      <c r="AD44" s="40">
        <f t="shared" si="2"/>
        <v>6.999999999999984E-2</v>
      </c>
      <c r="AE44" s="161">
        <f t="shared" si="3"/>
        <v>5.9523809523809312E-3</v>
      </c>
    </row>
    <row r="45" spans="2:31" x14ac:dyDescent="0.25">
      <c r="B45" s="192">
        <v>42729</v>
      </c>
      <c r="C45" s="10">
        <v>1800</v>
      </c>
      <c r="D45" s="201">
        <v>3.5200800000000001</v>
      </c>
      <c r="E45" s="40">
        <v>3.42</v>
      </c>
      <c r="F45" s="235">
        <f t="shared" si="10"/>
        <v>-180.14400000000029</v>
      </c>
      <c r="G45" s="40">
        <f t="shared" si="11"/>
        <v>6336.1440000000002</v>
      </c>
      <c r="H45" s="231">
        <f t="shared" si="12"/>
        <v>-2.8431172018817803E-2</v>
      </c>
      <c r="I45" s="40"/>
      <c r="O45" s="82">
        <v>1.06</v>
      </c>
      <c r="P45" s="82">
        <f t="shared" si="13"/>
        <v>2.8302</v>
      </c>
      <c r="Q45" s="2"/>
      <c r="T45" s="92" t="s">
        <v>100</v>
      </c>
      <c r="U45" s="87" t="s">
        <v>715</v>
      </c>
      <c r="W45" s="109">
        <v>42733</v>
      </c>
      <c r="X45" s="9">
        <v>3.27</v>
      </c>
      <c r="Y45" s="9">
        <v>3.41</v>
      </c>
      <c r="Z45" s="9">
        <v>3.27</v>
      </c>
      <c r="AA45" s="9">
        <v>3.36</v>
      </c>
      <c r="AB45" s="103">
        <v>15739800</v>
      </c>
      <c r="AC45" s="9">
        <v>3.36</v>
      </c>
      <c r="AD45" s="40">
        <f t="shared" si="2"/>
        <v>0.14000000000000012</v>
      </c>
      <c r="AE45" s="161">
        <f t="shared" si="3"/>
        <v>2.9850746268655914E-3</v>
      </c>
    </row>
    <row r="46" spans="2:31" x14ac:dyDescent="0.25">
      <c r="B46" s="192">
        <v>42736</v>
      </c>
      <c r="C46" s="10">
        <v>1800</v>
      </c>
      <c r="D46" s="201">
        <v>3.4559099999999998</v>
      </c>
      <c r="E46" s="40">
        <v>3.3650000000000002</v>
      </c>
      <c r="F46" s="235">
        <f t="shared" si="10"/>
        <v>-163.63799999999929</v>
      </c>
      <c r="G46" s="40">
        <f t="shared" si="11"/>
        <v>6220.6379999999999</v>
      </c>
      <c r="H46" s="231">
        <f t="shared" si="12"/>
        <v>-2.6305661895130256E-2</v>
      </c>
      <c r="I46" s="40" t="s">
        <v>188</v>
      </c>
      <c r="O46" s="82">
        <v>1.05</v>
      </c>
      <c r="P46" s="82">
        <f t="shared" si="13"/>
        <v>2.8035000000000001</v>
      </c>
      <c r="Q46" s="2"/>
      <c r="T46" s="92" t="s">
        <v>101</v>
      </c>
      <c r="U46" s="87" t="s">
        <v>716</v>
      </c>
      <c r="W46" s="109">
        <v>42732</v>
      </c>
      <c r="X46" s="9">
        <v>3.42</v>
      </c>
      <c r="Y46" s="9">
        <v>3.44</v>
      </c>
      <c r="Z46" s="9">
        <v>3.34</v>
      </c>
      <c r="AA46" s="9">
        <v>3.35</v>
      </c>
      <c r="AB46" s="103">
        <v>13382600</v>
      </c>
      <c r="AC46" s="9">
        <v>3.35</v>
      </c>
      <c r="AD46" s="40">
        <f t="shared" si="2"/>
        <v>0.10000000000000009</v>
      </c>
      <c r="AE46" s="161">
        <f t="shared" si="3"/>
        <v>-2.0467836257309857E-2</v>
      </c>
    </row>
    <row r="47" spans="2:31" x14ac:dyDescent="0.25">
      <c r="B47" s="192">
        <v>42738</v>
      </c>
      <c r="C47" s="10">
        <v>1100</v>
      </c>
      <c r="D47" s="201">
        <v>3.3961100000000002</v>
      </c>
      <c r="E47" s="40">
        <v>3.58</v>
      </c>
      <c r="F47" s="235">
        <f t="shared" si="10"/>
        <v>202.27899999999988</v>
      </c>
      <c r="G47" s="40">
        <f t="shared" si="11"/>
        <v>3735.721</v>
      </c>
      <c r="H47" s="231">
        <f t="shared" si="12"/>
        <v>5.4147244936118055E-2</v>
      </c>
      <c r="I47" s="40"/>
      <c r="O47" s="82">
        <v>1.04</v>
      </c>
      <c r="P47" s="82">
        <f t="shared" si="13"/>
        <v>2.7768000000000002</v>
      </c>
      <c r="Q47" s="2"/>
      <c r="T47" s="92" t="s">
        <v>102</v>
      </c>
      <c r="U47" s="87">
        <v>4.03</v>
      </c>
      <c r="W47" s="109">
        <v>42731</v>
      </c>
      <c r="X47" s="9">
        <v>3.42</v>
      </c>
      <c r="Y47" s="9">
        <v>3.46</v>
      </c>
      <c r="Z47" s="9">
        <v>3.4</v>
      </c>
      <c r="AA47" s="9">
        <v>3.42</v>
      </c>
      <c r="AB47" s="103">
        <v>11287900</v>
      </c>
      <c r="AC47" s="9">
        <v>3.42</v>
      </c>
      <c r="AD47" s="40">
        <f t="shared" si="2"/>
        <v>6.0000000000000053E-2</v>
      </c>
      <c r="AE47" s="161">
        <f t="shared" si="3"/>
        <v>0</v>
      </c>
    </row>
    <row r="48" spans="2:31" x14ac:dyDescent="0.25">
      <c r="B48" s="192">
        <v>42739</v>
      </c>
      <c r="C48" s="10">
        <v>1100</v>
      </c>
      <c r="D48" s="201">
        <v>3.39608</v>
      </c>
      <c r="E48" s="40">
        <v>3.67</v>
      </c>
      <c r="F48" s="235">
        <f t="shared" si="10"/>
        <v>301.31199999999995</v>
      </c>
      <c r="G48" s="40">
        <f t="shared" si="11"/>
        <v>3735.6880000000001</v>
      </c>
      <c r="H48" s="231">
        <f t="shared" si="12"/>
        <v>8.0657699465265825E-2</v>
      </c>
      <c r="I48" s="40"/>
      <c r="O48" s="82">
        <v>1.03</v>
      </c>
      <c r="P48" s="82">
        <f t="shared" si="13"/>
        <v>2.7501000000000002</v>
      </c>
      <c r="Q48" s="2"/>
      <c r="T48" s="92" t="s">
        <v>103</v>
      </c>
      <c r="U48" s="87">
        <v>0.447965</v>
      </c>
      <c r="W48" s="109">
        <v>42727</v>
      </c>
      <c r="X48" s="9">
        <v>3.32</v>
      </c>
      <c r="Y48" s="9">
        <v>3.44</v>
      </c>
      <c r="Z48" s="9">
        <v>3.32</v>
      </c>
      <c r="AA48" s="9">
        <v>3.42</v>
      </c>
      <c r="AB48" s="103">
        <v>12705300</v>
      </c>
      <c r="AC48" s="9">
        <v>3.42</v>
      </c>
      <c r="AD48" s="40">
        <f t="shared" si="2"/>
        <v>0.12000000000000011</v>
      </c>
      <c r="AE48" s="161">
        <f t="shared" si="3"/>
        <v>2.39520958083832E-2</v>
      </c>
    </row>
    <row r="49" spans="1:31" x14ac:dyDescent="0.25">
      <c r="B49" s="192">
        <v>42745</v>
      </c>
      <c r="C49" s="10">
        <v>1100</v>
      </c>
      <c r="D49" s="201">
        <v>3.39608</v>
      </c>
      <c r="E49" s="40">
        <v>3.63</v>
      </c>
      <c r="F49" s="235">
        <f t="shared" si="10"/>
        <v>257.3119999999999</v>
      </c>
      <c r="G49" s="40">
        <f t="shared" si="11"/>
        <v>3735.6880000000001</v>
      </c>
      <c r="H49" s="231">
        <f t="shared" si="12"/>
        <v>6.8879413912510873E-2</v>
      </c>
      <c r="I49" s="40"/>
      <c r="O49" s="82">
        <v>1.02</v>
      </c>
      <c r="P49" s="82">
        <f t="shared" si="13"/>
        <v>2.7233999999999998</v>
      </c>
      <c r="Q49" s="2"/>
      <c r="T49" s="92" t="s">
        <v>122</v>
      </c>
      <c r="U49" s="87" t="s">
        <v>481</v>
      </c>
      <c r="W49" s="109">
        <v>42726</v>
      </c>
      <c r="X49" s="9">
        <v>3.32</v>
      </c>
      <c r="Y49" s="9">
        <v>3.42</v>
      </c>
      <c r="Z49" s="9">
        <v>3.3</v>
      </c>
      <c r="AA49" s="9">
        <v>3.34</v>
      </c>
      <c r="AB49" s="103">
        <v>15337700</v>
      </c>
      <c r="AC49" s="9">
        <v>3.34</v>
      </c>
      <c r="AD49" s="40">
        <f t="shared" si="2"/>
        <v>0.12000000000000011</v>
      </c>
      <c r="AE49" s="161">
        <f t="shared" si="3"/>
        <v>1.5197568389057725E-2</v>
      </c>
    </row>
    <row r="50" spans="1:31" x14ac:dyDescent="0.25">
      <c r="A50" t="s">
        <v>390</v>
      </c>
      <c r="B50" s="192">
        <v>42754</v>
      </c>
      <c r="C50" s="583">
        <v>1500</v>
      </c>
      <c r="D50" s="584">
        <v>3.40246</v>
      </c>
      <c r="E50" s="40">
        <v>3.48</v>
      </c>
      <c r="F50" s="235">
        <f t="shared" si="10"/>
        <v>116.30999999999992</v>
      </c>
      <c r="G50" s="40">
        <f t="shared" si="11"/>
        <v>5103.6900000000005</v>
      </c>
      <c r="H50" s="231">
        <f t="shared" si="12"/>
        <v>2.2789393556426802E-2</v>
      </c>
      <c r="I50" s="40"/>
      <c r="O50" s="82">
        <v>1.01</v>
      </c>
      <c r="P50" s="82">
        <f t="shared" si="13"/>
        <v>2.6966999999999999</v>
      </c>
      <c r="Q50" s="2"/>
      <c r="T50" s="92"/>
      <c r="U50" s="87"/>
      <c r="W50" s="109">
        <v>42725</v>
      </c>
      <c r="X50" s="9">
        <v>3.47</v>
      </c>
      <c r="Y50" s="9">
        <v>3.47</v>
      </c>
      <c r="Z50" s="9">
        <v>3.28</v>
      </c>
      <c r="AA50" s="9">
        <v>3.29</v>
      </c>
      <c r="AB50" s="103">
        <v>31544700</v>
      </c>
      <c r="AC50" s="9">
        <v>3.29</v>
      </c>
      <c r="AD50" s="40">
        <f t="shared" si="2"/>
        <v>0.19000000000000039</v>
      </c>
      <c r="AE50" s="161">
        <f t="shared" si="3"/>
        <v>-4.6376811594202927E-2</v>
      </c>
    </row>
    <row r="51" spans="1:31" x14ac:dyDescent="0.25">
      <c r="A51" t="s">
        <v>397</v>
      </c>
      <c r="B51" s="192">
        <v>42760</v>
      </c>
      <c r="C51" s="10">
        <v>1800</v>
      </c>
      <c r="D51" s="201">
        <v>3.40205</v>
      </c>
      <c r="E51" s="40">
        <v>3.43</v>
      </c>
      <c r="F51" s="235">
        <f t="shared" si="10"/>
        <v>50.310000000000258</v>
      </c>
      <c r="G51" s="40">
        <f t="shared" si="11"/>
        <v>6123.69</v>
      </c>
      <c r="H51" s="231">
        <f t="shared" si="12"/>
        <v>8.2156346908482062E-3</v>
      </c>
      <c r="I51" s="40"/>
      <c r="O51" s="82">
        <v>1</v>
      </c>
      <c r="P51" s="82">
        <f t="shared" si="13"/>
        <v>2.67</v>
      </c>
      <c r="Q51" s="2"/>
      <c r="T51" s="92" t="s">
        <v>105</v>
      </c>
      <c r="U51" s="87" t="s">
        <v>717</v>
      </c>
      <c r="W51" s="109">
        <v>42724</v>
      </c>
      <c r="X51" s="9">
        <v>3.57</v>
      </c>
      <c r="Y51" s="9">
        <v>3.57</v>
      </c>
      <c r="Z51" s="9">
        <v>3.43</v>
      </c>
      <c r="AA51" s="9">
        <v>3.45</v>
      </c>
      <c r="AB51" s="103">
        <v>16142900</v>
      </c>
      <c r="AC51" s="9">
        <v>3.45</v>
      </c>
      <c r="AD51" s="40">
        <f t="shared" si="2"/>
        <v>0.13999999999999968</v>
      </c>
      <c r="AE51" s="161">
        <f t="shared" si="3"/>
        <v>-3.3613445378151141E-2</v>
      </c>
    </row>
    <row r="52" spans="1:31" x14ac:dyDescent="0.25">
      <c r="A52" t="s">
        <v>398</v>
      </c>
      <c r="B52" s="192">
        <v>42760</v>
      </c>
      <c r="C52" s="10">
        <v>1400</v>
      </c>
      <c r="D52" s="201">
        <v>3.38801</v>
      </c>
      <c r="E52" s="40">
        <v>3.44</v>
      </c>
      <c r="F52" s="235">
        <f t="shared" si="10"/>
        <v>72.785999999999973</v>
      </c>
      <c r="G52" s="40">
        <f t="shared" si="11"/>
        <v>4743.2139999999999</v>
      </c>
      <c r="H52" s="231">
        <f t="shared" si="12"/>
        <v>1.5345291188632849E-2</v>
      </c>
      <c r="I52" s="40"/>
      <c r="O52" s="82">
        <v>0.99</v>
      </c>
      <c r="P52" s="82">
        <f t="shared" si="13"/>
        <v>2.6433</v>
      </c>
      <c r="Q52" s="2"/>
      <c r="T52" s="92" t="s">
        <v>106</v>
      </c>
      <c r="U52" s="87" t="s">
        <v>577</v>
      </c>
      <c r="W52" s="109">
        <v>42723</v>
      </c>
      <c r="X52" s="9">
        <v>3.53</v>
      </c>
      <c r="Y52" s="9">
        <v>3.59</v>
      </c>
      <c r="Z52" s="9">
        <v>3.5</v>
      </c>
      <c r="AA52" s="9">
        <v>3.57</v>
      </c>
      <c r="AB52" s="103">
        <v>15160300</v>
      </c>
      <c r="AC52" s="9">
        <v>3.57</v>
      </c>
      <c r="AD52" s="40">
        <f t="shared" si="2"/>
        <v>8.9999999999999858E-2</v>
      </c>
      <c r="AE52" s="161">
        <f t="shared" si="3"/>
        <v>2.8089887640447841E-3</v>
      </c>
    </row>
    <row r="53" spans="1:31" x14ac:dyDescent="0.25">
      <c r="A53" t="s">
        <v>447</v>
      </c>
      <c r="B53" s="192">
        <v>42771</v>
      </c>
      <c r="C53" s="10">
        <v>1400</v>
      </c>
      <c r="D53" s="201">
        <v>3.38801</v>
      </c>
      <c r="E53" s="40">
        <v>3.42</v>
      </c>
      <c r="F53" s="235">
        <f t="shared" si="10"/>
        <v>44.785999999999945</v>
      </c>
      <c r="G53" s="40">
        <f t="shared" si="11"/>
        <v>4743.2139999999999</v>
      </c>
      <c r="H53" s="231">
        <f t="shared" si="12"/>
        <v>9.4421208910245146E-3</v>
      </c>
      <c r="I53" s="40"/>
      <c r="O53" s="82">
        <v>0.98</v>
      </c>
      <c r="P53" s="82">
        <f t="shared" si="13"/>
        <v>2.6166</v>
      </c>
      <c r="Q53" s="2"/>
      <c r="T53" s="92" t="s">
        <v>107</v>
      </c>
      <c r="U53" s="89">
        <v>29156500</v>
      </c>
      <c r="W53" s="109">
        <v>42720</v>
      </c>
      <c r="X53" s="9">
        <v>3.5</v>
      </c>
      <c r="Y53" s="9">
        <v>3.57</v>
      </c>
      <c r="Z53" s="9">
        <v>3.41</v>
      </c>
      <c r="AA53" s="9">
        <v>3.56</v>
      </c>
      <c r="AB53" s="103">
        <v>93389600</v>
      </c>
      <c r="AC53" s="9">
        <v>3.56</v>
      </c>
      <c r="AD53" s="40">
        <f t="shared" si="2"/>
        <v>0.1599999999999997</v>
      </c>
      <c r="AE53" s="161">
        <f t="shared" si="3"/>
        <v>2.005730659025784E-2</v>
      </c>
    </row>
    <row r="54" spans="1:31" x14ac:dyDescent="0.25">
      <c r="A54" t="s">
        <v>451</v>
      </c>
      <c r="B54" s="192">
        <v>42772</v>
      </c>
      <c r="C54" s="10">
        <v>2000</v>
      </c>
      <c r="D54" s="201">
        <v>3.3616199999999998</v>
      </c>
      <c r="E54" s="40">
        <v>3.33</v>
      </c>
      <c r="F54" s="235">
        <f t="shared" si="10"/>
        <v>-63.239999999999519</v>
      </c>
      <c r="G54" s="40">
        <f t="shared" si="11"/>
        <v>6723.24</v>
      </c>
      <c r="H54" s="231">
        <f t="shared" si="12"/>
        <v>-9.4061791636174709E-3</v>
      </c>
      <c r="I54" s="40"/>
      <c r="O54" s="82">
        <v>0.97</v>
      </c>
      <c r="P54" s="82">
        <f t="shared" si="13"/>
        <v>2.5898999999999996</v>
      </c>
      <c r="T54" s="92" t="s">
        <v>110</v>
      </c>
      <c r="U54" s="89">
        <v>24182500</v>
      </c>
      <c r="W54" s="109">
        <v>42719</v>
      </c>
      <c r="X54" s="9">
        <v>3.42</v>
      </c>
      <c r="Y54" s="9">
        <v>3.5</v>
      </c>
      <c r="Z54" s="9">
        <v>3.4</v>
      </c>
      <c r="AA54" s="9">
        <v>3.49</v>
      </c>
      <c r="AB54" s="103">
        <v>12778100</v>
      </c>
      <c r="AC54" s="9">
        <v>3.49</v>
      </c>
      <c r="AD54" s="40">
        <f t="shared" si="2"/>
        <v>0.10000000000000009</v>
      </c>
      <c r="AE54" s="161">
        <f t="shared" si="3"/>
        <v>1.4534883720930258E-2</v>
      </c>
    </row>
    <row r="55" spans="1:31" x14ac:dyDescent="0.25">
      <c r="A55" t="s">
        <v>509</v>
      </c>
      <c r="B55" s="192">
        <v>42788</v>
      </c>
      <c r="C55" s="10">
        <v>2000</v>
      </c>
      <c r="D55" s="201">
        <v>3.3616199999999998</v>
      </c>
      <c r="E55" s="40">
        <v>3.35</v>
      </c>
      <c r="F55" s="235">
        <f t="shared" ref="F55:F57" si="14">C55*(E55-D55)</f>
        <v>-23.239999999999483</v>
      </c>
      <c r="G55" s="40">
        <f t="shared" ref="G55:G57" si="15">D55*C55</f>
        <v>6723.24</v>
      </c>
      <c r="H55" s="231">
        <f t="shared" ref="H55:H57" si="16">(E55-D55)/D55</f>
        <v>-3.4566667261617143E-3</v>
      </c>
      <c r="I55" s="40"/>
      <c r="O55" s="82">
        <v>0.96</v>
      </c>
      <c r="P55" s="82">
        <f t="shared" si="13"/>
        <v>2.5631999999999997</v>
      </c>
      <c r="T55" s="92" t="s">
        <v>108</v>
      </c>
      <c r="U55" s="87" t="s">
        <v>718</v>
      </c>
      <c r="W55" s="109">
        <v>42718</v>
      </c>
      <c r="X55" s="9">
        <v>3.45</v>
      </c>
      <c r="Y55" s="9">
        <v>3.5</v>
      </c>
      <c r="Z55" s="9">
        <v>3.39</v>
      </c>
      <c r="AA55" s="9">
        <v>3.44</v>
      </c>
      <c r="AB55" s="103">
        <v>15035400</v>
      </c>
      <c r="AC55" s="9">
        <v>3.44</v>
      </c>
      <c r="AD55" s="40">
        <f t="shared" si="2"/>
        <v>0.10999999999999988</v>
      </c>
      <c r="AE55" s="161">
        <f t="shared" si="3"/>
        <v>-2.8985507246377384E-3</v>
      </c>
    </row>
    <row r="56" spans="1:31" x14ac:dyDescent="0.25">
      <c r="A56" t="s">
        <v>517</v>
      </c>
      <c r="B56" s="192">
        <v>42790</v>
      </c>
      <c r="C56" s="10">
        <v>1300</v>
      </c>
      <c r="D56" s="201">
        <v>3.33</v>
      </c>
      <c r="E56" s="40">
        <v>3.37</v>
      </c>
      <c r="F56" s="235">
        <f t="shared" si="14"/>
        <v>52.000000000000043</v>
      </c>
      <c r="G56" s="40">
        <f t="shared" si="15"/>
        <v>4329</v>
      </c>
      <c r="H56" s="231">
        <f t="shared" si="16"/>
        <v>1.2012012012012022E-2</v>
      </c>
      <c r="I56" s="40"/>
      <c r="O56" s="82">
        <v>0.95</v>
      </c>
      <c r="P56" s="82">
        <f t="shared" si="13"/>
        <v>2.5364999999999998</v>
      </c>
      <c r="T56" s="92" t="s">
        <v>111</v>
      </c>
      <c r="U56" s="87" t="s">
        <v>129</v>
      </c>
      <c r="W56" s="109">
        <v>42717</v>
      </c>
      <c r="X56" s="9">
        <v>3.39</v>
      </c>
      <c r="Y56" s="9">
        <v>3.53</v>
      </c>
      <c r="Z56" s="9">
        <v>3.35</v>
      </c>
      <c r="AA56" s="9">
        <v>3.45</v>
      </c>
      <c r="AB56" s="103">
        <v>21984100</v>
      </c>
      <c r="AC56" s="9">
        <v>3.45</v>
      </c>
      <c r="AD56" s="40">
        <f t="shared" si="2"/>
        <v>0.17999999999999972</v>
      </c>
      <c r="AE56" s="161" t="e">
        <f t="shared" si="3"/>
        <v>#DIV/0!</v>
      </c>
    </row>
    <row r="57" spans="1:31" x14ac:dyDescent="0.25">
      <c r="A57" t="s">
        <v>539</v>
      </c>
      <c r="B57" s="192">
        <v>42793</v>
      </c>
      <c r="C57" s="10">
        <v>2000</v>
      </c>
      <c r="D57" s="201">
        <v>3.2776399999999999</v>
      </c>
      <c r="E57" s="40">
        <v>3.29</v>
      </c>
      <c r="F57" s="235">
        <f t="shared" si="14"/>
        <v>24.720000000000297</v>
      </c>
      <c r="G57" s="40">
        <f t="shared" si="15"/>
        <v>6555.28</v>
      </c>
      <c r="H57" s="231">
        <f t="shared" si="16"/>
        <v>3.7710059677085188E-3</v>
      </c>
      <c r="I57" s="40" t="s">
        <v>540</v>
      </c>
      <c r="O57" s="82">
        <v>0.94</v>
      </c>
      <c r="P57" s="82">
        <f t="shared" si="13"/>
        <v>2.5097999999999998</v>
      </c>
      <c r="T57" s="92" t="s">
        <v>112</v>
      </c>
      <c r="U57" s="87">
        <v>-0.51</v>
      </c>
      <c r="W57" s="109">
        <v>42717</v>
      </c>
      <c r="X57" s="9" t="s">
        <v>171</v>
      </c>
      <c r="Y57" s="9"/>
      <c r="Z57" s="9"/>
      <c r="AA57" s="9"/>
      <c r="AB57" s="103"/>
      <c r="AC57" s="9"/>
      <c r="AD57" s="40">
        <f t="shared" si="2"/>
        <v>0</v>
      </c>
      <c r="AE57" s="161">
        <f t="shared" si="3"/>
        <v>-1</v>
      </c>
    </row>
    <row r="58" spans="1:31" x14ac:dyDescent="0.25">
      <c r="A58">
        <v>700</v>
      </c>
      <c r="B58" s="192">
        <v>42800</v>
      </c>
      <c r="C58" s="10">
        <v>2000</v>
      </c>
      <c r="D58" s="201">
        <v>3.2776399999999999</v>
      </c>
      <c r="E58" s="40">
        <v>2.76</v>
      </c>
      <c r="F58" s="235">
        <f t="shared" ref="F58" si="17">C58*(E58-D58)</f>
        <v>-1035.2800000000002</v>
      </c>
      <c r="G58" s="40">
        <f t="shared" ref="G58" si="18">D58*C58</f>
        <v>6555.28</v>
      </c>
      <c r="H58" s="231">
        <f t="shared" ref="H58" si="19">(E58-D58)/D58</f>
        <v>-0.15793070623985553</v>
      </c>
      <c r="I58" s="40"/>
      <c r="O58" s="82">
        <v>0.93</v>
      </c>
      <c r="P58" s="82">
        <f t="shared" si="13"/>
        <v>2.4830999999999999</v>
      </c>
      <c r="T58" s="92" t="s">
        <v>109</v>
      </c>
      <c r="U58" s="87" t="s">
        <v>719</v>
      </c>
      <c r="W58" s="109">
        <v>42716</v>
      </c>
      <c r="X58" s="9">
        <v>3.68</v>
      </c>
      <c r="Y58" s="9">
        <v>3.7</v>
      </c>
      <c r="Z58" s="9">
        <v>3.47</v>
      </c>
      <c r="AA58" s="9">
        <v>3.49</v>
      </c>
      <c r="AB58" s="103">
        <v>28424200</v>
      </c>
      <c r="AC58" s="9">
        <v>3.39</v>
      </c>
      <c r="AD58" s="40">
        <f t="shared" si="2"/>
        <v>0.22999999999999998</v>
      </c>
      <c r="AE58" s="161">
        <f t="shared" si="3"/>
        <v>-4.7752808988763995E-2</v>
      </c>
    </row>
    <row r="59" spans="1:31" x14ac:dyDescent="0.25">
      <c r="B59" s="192"/>
      <c r="C59" s="10"/>
      <c r="D59" s="201"/>
      <c r="E59" s="40"/>
      <c r="F59" s="235"/>
      <c r="G59" s="40"/>
      <c r="H59" s="231"/>
      <c r="I59" s="40"/>
      <c r="O59" s="82">
        <v>0.92</v>
      </c>
      <c r="P59" s="82">
        <f t="shared" si="13"/>
        <v>2.4563999999999999</v>
      </c>
      <c r="W59" s="109">
        <v>42713</v>
      </c>
      <c r="X59" s="9">
        <v>3.69</v>
      </c>
      <c r="Y59" s="9">
        <v>3.72</v>
      </c>
      <c r="Z59" s="9">
        <v>3.63</v>
      </c>
      <c r="AA59" s="9">
        <v>3.67</v>
      </c>
      <c r="AB59" s="103">
        <v>20546900</v>
      </c>
      <c r="AC59" s="9">
        <v>3.56</v>
      </c>
      <c r="AD59" s="40">
        <f t="shared" si="2"/>
        <v>9.0000000000000302E-2</v>
      </c>
      <c r="AE59" s="161">
        <f t="shared" si="3"/>
        <v>-8.3565459610027704E-3</v>
      </c>
    </row>
    <row r="60" spans="1:31" x14ac:dyDescent="0.25">
      <c r="B60" s="192"/>
      <c r="C60" s="10"/>
      <c r="D60" s="201"/>
      <c r="E60" s="40"/>
      <c r="F60" s="235"/>
      <c r="G60" s="40"/>
      <c r="H60" s="231"/>
      <c r="I60" s="40"/>
      <c r="O60" s="82">
        <v>0.91</v>
      </c>
      <c r="P60" s="82">
        <f t="shared" si="13"/>
        <v>2.4297</v>
      </c>
      <c r="W60" s="109">
        <v>42712</v>
      </c>
      <c r="X60" s="9">
        <v>3.65</v>
      </c>
      <c r="Y60" s="9">
        <v>3.73</v>
      </c>
      <c r="Z60" s="9">
        <v>3.63</v>
      </c>
      <c r="AA60" s="9">
        <v>3.7</v>
      </c>
      <c r="AB60" s="103">
        <v>18816200</v>
      </c>
      <c r="AC60" s="9">
        <v>3.59</v>
      </c>
      <c r="AD60" s="40">
        <f t="shared" si="2"/>
        <v>0.10000000000000009</v>
      </c>
      <c r="AE60" s="161">
        <f t="shared" si="3"/>
        <v>2.8653295128939771E-2</v>
      </c>
    </row>
    <row r="61" spans="1:31" x14ac:dyDescent="0.25">
      <c r="B61" s="192"/>
      <c r="C61" s="10"/>
      <c r="D61" s="201"/>
      <c r="E61" s="40"/>
      <c r="F61" s="235"/>
      <c r="G61" s="40"/>
      <c r="H61" s="231"/>
      <c r="I61" s="40"/>
      <c r="O61" s="82">
        <v>0.9</v>
      </c>
      <c r="P61" s="82">
        <f t="shared" si="13"/>
        <v>2.403</v>
      </c>
      <c r="W61" s="109">
        <v>42711</v>
      </c>
      <c r="X61" s="9">
        <v>3.53</v>
      </c>
      <c r="Y61" s="9">
        <v>3.69</v>
      </c>
      <c r="Z61" s="9">
        <v>3.53</v>
      </c>
      <c r="AA61" s="9">
        <v>3.6</v>
      </c>
      <c r="AB61" s="103">
        <v>22919100</v>
      </c>
      <c r="AC61" s="9">
        <v>3.49</v>
      </c>
      <c r="AD61" s="40">
        <f t="shared" si="2"/>
        <v>0.16000000000000014</v>
      </c>
      <c r="AE61" s="161">
        <f t="shared" si="3"/>
        <v>2.0467836257310079E-2</v>
      </c>
    </row>
    <row r="62" spans="1:31" x14ac:dyDescent="0.25">
      <c r="B62" s="192"/>
      <c r="C62" s="10"/>
      <c r="D62" s="201"/>
      <c r="E62" s="40"/>
      <c r="F62" s="235"/>
      <c r="G62" s="40"/>
      <c r="H62" s="231"/>
      <c r="I62" s="40"/>
      <c r="W62" s="109">
        <v>42710</v>
      </c>
      <c r="X62" s="9">
        <v>3.46</v>
      </c>
      <c r="Y62" s="9">
        <v>3.53</v>
      </c>
      <c r="Z62" s="9">
        <v>3.41</v>
      </c>
      <c r="AA62" s="9">
        <v>3.53</v>
      </c>
      <c r="AB62" s="103">
        <v>17303500</v>
      </c>
      <c r="AC62" s="9">
        <v>3.42</v>
      </c>
      <c r="AD62" s="40">
        <f t="shared" si="2"/>
        <v>0.11999999999999966</v>
      </c>
      <c r="AE62" s="161">
        <f t="shared" si="3"/>
        <v>3.0120481927710774E-2</v>
      </c>
    </row>
    <row r="63" spans="1:31" x14ac:dyDescent="0.25">
      <c r="B63" s="192"/>
      <c r="C63" s="10"/>
      <c r="D63" s="201"/>
      <c r="E63" s="40"/>
      <c r="F63" s="235"/>
      <c r="G63" s="40"/>
      <c r="H63" s="231"/>
      <c r="I63" s="40"/>
      <c r="W63" s="109">
        <v>42709</v>
      </c>
      <c r="X63" s="9">
        <v>3.51</v>
      </c>
      <c r="Y63" s="9">
        <v>3.6</v>
      </c>
      <c r="Z63" s="9">
        <v>3.35</v>
      </c>
      <c r="AA63" s="9">
        <v>3.42</v>
      </c>
      <c r="AB63" s="103">
        <v>30097600</v>
      </c>
      <c r="AC63" s="9">
        <v>3.32</v>
      </c>
      <c r="AD63" s="40">
        <f t="shared" si="2"/>
        <v>0.25</v>
      </c>
      <c r="AE63" s="161">
        <f t="shared" si="3"/>
        <v>-1.7751479289940808E-2</v>
      </c>
    </row>
    <row r="64" spans="1:31" x14ac:dyDescent="0.25">
      <c r="B64" s="192"/>
      <c r="C64" s="10"/>
      <c r="D64" s="201"/>
      <c r="E64" s="40"/>
      <c r="F64" s="235"/>
      <c r="G64" s="40"/>
      <c r="H64" s="231"/>
      <c r="I64" s="40"/>
      <c r="W64" s="109">
        <v>42706</v>
      </c>
      <c r="X64" s="9">
        <v>3.53</v>
      </c>
      <c r="Y64" s="9">
        <v>3.55</v>
      </c>
      <c r="Z64" s="9">
        <v>3.46</v>
      </c>
      <c r="AA64" s="9">
        <v>3.48</v>
      </c>
      <c r="AB64" s="103">
        <v>14274000</v>
      </c>
      <c r="AC64" s="9">
        <v>3.38</v>
      </c>
      <c r="AD64" s="40">
        <f t="shared" si="2"/>
        <v>8.9999999999999858E-2</v>
      </c>
      <c r="AE64" s="161">
        <f t="shared" si="3"/>
        <v>-5.8823529411764497E-3</v>
      </c>
    </row>
    <row r="65" spans="1:31" x14ac:dyDescent="0.25">
      <c r="B65" s="192"/>
      <c r="C65" s="10"/>
      <c r="D65" s="201"/>
      <c r="E65" s="40"/>
      <c r="F65" s="235"/>
      <c r="G65" s="40"/>
      <c r="H65" s="231"/>
      <c r="I65" s="40"/>
      <c r="W65" s="109">
        <v>42705</v>
      </c>
      <c r="X65" s="9">
        <v>3.63</v>
      </c>
      <c r="Y65" s="9">
        <v>3.68</v>
      </c>
      <c r="Z65" s="9">
        <v>3.48</v>
      </c>
      <c r="AA65" s="9">
        <v>3.51</v>
      </c>
      <c r="AB65" s="103">
        <v>21100400</v>
      </c>
      <c r="AC65" s="9">
        <v>3.4</v>
      </c>
      <c r="AD65" s="40">
        <f t="shared" si="2"/>
        <v>0.20000000000000018</v>
      </c>
      <c r="AE65" s="161">
        <f t="shared" si="3"/>
        <v>-3.9548022598870136E-2</v>
      </c>
    </row>
    <row r="66" spans="1:31" x14ac:dyDescent="0.25">
      <c r="B66" s="192"/>
      <c r="C66" s="10"/>
      <c r="D66" s="201"/>
      <c r="E66" s="40"/>
      <c r="F66" s="235"/>
      <c r="G66" s="40"/>
      <c r="H66" s="231"/>
      <c r="I66" s="40"/>
      <c r="W66" s="109">
        <v>42704</v>
      </c>
      <c r="X66" s="9">
        <v>3.67</v>
      </c>
      <c r="Y66" s="9">
        <v>3.73</v>
      </c>
      <c r="Z66" s="9">
        <v>3.64</v>
      </c>
      <c r="AA66" s="9">
        <v>3.65</v>
      </c>
      <c r="AB66" s="103">
        <v>18109000</v>
      </c>
      <c r="AC66" s="9">
        <v>3.54</v>
      </c>
      <c r="AD66" s="40">
        <f t="shared" si="2"/>
        <v>8.9999999999999858E-2</v>
      </c>
      <c r="AE66" s="161">
        <f t="shared" si="3"/>
        <v>-5.6179775280899014E-3</v>
      </c>
    </row>
    <row r="67" spans="1:31" x14ac:dyDescent="0.25">
      <c r="W67" s="109">
        <v>42703</v>
      </c>
      <c r="X67" s="9">
        <v>3.74</v>
      </c>
      <c r="Y67" s="9">
        <v>3.76</v>
      </c>
      <c r="Z67" s="9">
        <v>3.66</v>
      </c>
      <c r="AA67" s="9">
        <v>3.67</v>
      </c>
      <c r="AB67" s="103">
        <v>12998900</v>
      </c>
      <c r="AC67" s="9">
        <v>3.56</v>
      </c>
      <c r="AD67" s="40">
        <f>Y67-Z67</f>
        <v>9.9999999999999645E-2</v>
      </c>
      <c r="AE67" s="161">
        <f>AC67/AC68-1</f>
        <v>-1.9283746556473802E-2</v>
      </c>
    </row>
    <row r="68" spans="1:31" x14ac:dyDescent="0.25">
      <c r="L68" t="s">
        <v>212</v>
      </c>
      <c r="M68" s="2">
        <f>K86+M86-F86</f>
        <v>434.93000000000029</v>
      </c>
      <c r="W68" s="109">
        <v>42702</v>
      </c>
      <c r="X68" s="9">
        <v>3.67</v>
      </c>
      <c r="Y68" s="9">
        <v>3.78</v>
      </c>
      <c r="Z68" s="9">
        <v>3.67</v>
      </c>
      <c r="AA68" s="9">
        <v>3.74</v>
      </c>
      <c r="AB68" s="103">
        <v>16108400</v>
      </c>
      <c r="AC68" s="9">
        <v>3.63</v>
      </c>
      <c r="AD68" s="40">
        <f>Y68-Z68</f>
        <v>0.10999999999999988</v>
      </c>
      <c r="AE68" s="161" t="e">
        <f>AC68/AC69-1</f>
        <v>#DIV/0!</v>
      </c>
    </row>
    <row r="69" spans="1:31" x14ac:dyDescent="0.25">
      <c r="A69" s="384" t="s">
        <v>1</v>
      </c>
      <c r="B69" s="384" t="s">
        <v>2</v>
      </c>
      <c r="C69" s="384" t="s">
        <v>4</v>
      </c>
      <c r="D69" s="386" t="s">
        <v>5</v>
      </c>
      <c r="E69" s="386" t="s">
        <v>94</v>
      </c>
      <c r="F69" s="386" t="s">
        <v>60</v>
      </c>
      <c r="G69" s="384" t="s">
        <v>3</v>
      </c>
      <c r="H69" s="384" t="s">
        <v>6</v>
      </c>
      <c r="I69" s="386" t="s">
        <v>7</v>
      </c>
      <c r="J69" s="386" t="s">
        <v>95</v>
      </c>
      <c r="K69" s="386" t="s">
        <v>61</v>
      </c>
      <c r="L69" s="384" t="s">
        <v>37</v>
      </c>
      <c r="M69" s="384" t="s">
        <v>38</v>
      </c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 s="387" t="s">
        <v>9</v>
      </c>
      <c r="B70" s="377">
        <v>42356</v>
      </c>
      <c r="C70" s="378">
        <v>250</v>
      </c>
      <c r="D70" s="379">
        <v>4.45</v>
      </c>
      <c r="E70" s="379">
        <v>0</v>
      </c>
      <c r="F70" s="379">
        <f>C70*D70+E70</f>
        <v>1112.5</v>
      </c>
      <c r="G70" s="377">
        <v>42398</v>
      </c>
      <c r="H70" s="382">
        <v>250</v>
      </c>
      <c r="I70" s="379">
        <v>4.5199999999999996</v>
      </c>
      <c r="J70" s="379">
        <v>0.02</v>
      </c>
      <c r="K70" s="379">
        <f>H70*I70-J70</f>
        <v>1129.98</v>
      </c>
      <c r="L70" s="378"/>
      <c r="M70" s="378"/>
    </row>
    <row r="71" spans="1:31" x14ac:dyDescent="0.25">
      <c r="A71" s="388"/>
      <c r="B71" s="377">
        <v>42382</v>
      </c>
      <c r="C71" s="378">
        <v>250</v>
      </c>
      <c r="D71" s="379">
        <v>4.25</v>
      </c>
      <c r="E71" s="379">
        <v>0</v>
      </c>
      <c r="F71" s="379">
        <f>C71*D71+E71</f>
        <v>1062.5</v>
      </c>
      <c r="G71" s="377">
        <v>42418</v>
      </c>
      <c r="H71" s="382">
        <v>250</v>
      </c>
      <c r="I71" s="379">
        <v>4.45</v>
      </c>
      <c r="J71" s="379">
        <v>0.02</v>
      </c>
      <c r="K71" s="379">
        <f>H71*I71-J71</f>
        <v>1112.48</v>
      </c>
      <c r="L71" s="378"/>
      <c r="M71" s="378"/>
    </row>
    <row r="72" spans="1:31" x14ac:dyDescent="0.25">
      <c r="A72" s="378"/>
      <c r="B72" s="377">
        <v>42402</v>
      </c>
      <c r="C72" s="378">
        <v>250</v>
      </c>
      <c r="D72" s="379">
        <v>4.3600000000000003</v>
      </c>
      <c r="E72" s="379">
        <v>0</v>
      </c>
      <c r="F72" s="379">
        <f>C72*D72+E72</f>
        <v>1090</v>
      </c>
      <c r="G72" s="377">
        <v>42436</v>
      </c>
      <c r="H72" s="382">
        <v>250</v>
      </c>
      <c r="I72" s="379">
        <v>5.83</v>
      </c>
      <c r="J72" s="379">
        <v>0.03</v>
      </c>
      <c r="K72" s="379">
        <f>H72*I72-J72</f>
        <v>1457.47</v>
      </c>
      <c r="L72" s="378"/>
      <c r="M72" s="378"/>
    </row>
    <row r="73" spans="1:31" x14ac:dyDescent="0.25">
      <c r="A73" s="378"/>
      <c r="B73" s="377"/>
      <c r="C73" s="378"/>
      <c r="D73" s="379"/>
      <c r="E73" s="379"/>
      <c r="F73" s="379"/>
      <c r="G73" s="378"/>
      <c r="H73" s="382"/>
      <c r="I73" s="379"/>
      <c r="J73" s="379"/>
      <c r="K73" s="379"/>
      <c r="L73" s="378"/>
      <c r="M73" s="378"/>
    </row>
    <row r="74" spans="1:31" x14ac:dyDescent="0.25">
      <c r="A74" s="378"/>
      <c r="B74" s="378"/>
      <c r="C74" s="378"/>
      <c r="D74" s="379"/>
      <c r="E74" s="379"/>
      <c r="F74" s="379"/>
      <c r="G74" s="378"/>
      <c r="H74" s="382"/>
      <c r="I74" s="379"/>
      <c r="J74" s="379"/>
      <c r="K74" s="379"/>
      <c r="L74" s="378"/>
      <c r="M74" s="378"/>
    </row>
    <row r="75" spans="1:31" x14ac:dyDescent="0.25">
      <c r="A75" s="378"/>
      <c r="B75" s="378"/>
      <c r="C75" s="378"/>
      <c r="D75" s="379"/>
      <c r="E75" s="379"/>
      <c r="F75" s="379"/>
      <c r="G75" s="378"/>
      <c r="H75" s="382"/>
      <c r="I75" s="379"/>
      <c r="J75" s="379"/>
      <c r="K75" s="379"/>
      <c r="L75" s="378"/>
      <c r="M75" s="378"/>
    </row>
    <row r="76" spans="1:31" x14ac:dyDescent="0.25">
      <c r="A76" s="378"/>
      <c r="B76" s="378"/>
      <c r="C76" s="378"/>
      <c r="D76" s="379"/>
      <c r="E76" s="379"/>
      <c r="F76" s="379"/>
      <c r="G76" s="378"/>
      <c r="H76" s="382"/>
      <c r="I76" s="379"/>
      <c r="J76" s="379"/>
      <c r="K76" s="379"/>
      <c r="L76" s="378"/>
      <c r="M76" s="378"/>
    </row>
    <row r="77" spans="1:31" x14ac:dyDescent="0.25">
      <c r="A77" s="378"/>
      <c r="B77" s="378"/>
      <c r="C77" s="378"/>
      <c r="D77" s="379"/>
      <c r="E77" s="379"/>
      <c r="F77" s="379"/>
      <c r="G77" s="378"/>
      <c r="H77" s="382"/>
      <c r="I77" s="379"/>
      <c r="J77" s="379"/>
      <c r="K77" s="379"/>
      <c r="L77" s="378"/>
      <c r="M77" s="378"/>
    </row>
    <row r="78" spans="1:31" x14ac:dyDescent="0.25">
      <c r="A78" s="378"/>
      <c r="B78" s="378"/>
      <c r="C78" s="378"/>
      <c r="D78" s="379"/>
      <c r="E78" s="379"/>
      <c r="F78" s="379"/>
      <c r="G78" s="378"/>
      <c r="H78" s="378"/>
      <c r="I78" s="379"/>
      <c r="J78" s="379"/>
      <c r="K78" s="379"/>
      <c r="L78" s="378"/>
      <c r="M78" s="378"/>
    </row>
    <row r="79" spans="1:31" x14ac:dyDescent="0.25">
      <c r="A79" s="378"/>
      <c r="B79" s="378"/>
      <c r="C79" s="378"/>
      <c r="D79" s="379"/>
      <c r="E79" s="379"/>
      <c r="F79" s="379"/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8"/>
      <c r="C80" s="378"/>
      <c r="D80" s="379"/>
      <c r="E80" s="379"/>
      <c r="F80" s="379"/>
      <c r="G80" s="378"/>
      <c r="H80" s="378"/>
      <c r="I80" s="379"/>
      <c r="J80" s="379"/>
      <c r="K80" s="379"/>
      <c r="L80" s="378"/>
      <c r="M80" s="378"/>
    </row>
    <row r="81" spans="1:13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78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78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</row>
    <row r="85" spans="1:13" x14ac:dyDescent="0.25">
      <c r="A85" s="378"/>
      <c r="B85" s="378"/>
      <c r="C85" s="378"/>
      <c r="D85" s="379"/>
      <c r="E85" s="379"/>
      <c r="F85" s="379"/>
      <c r="G85" s="378"/>
      <c r="H85" s="382"/>
      <c r="I85" s="379"/>
      <c r="J85" s="379"/>
      <c r="K85" s="379"/>
      <c r="L85" s="378"/>
      <c r="M85" s="378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11" t="s">
        <v>114</v>
      </c>
      <c r="C89" s="511" t="s">
        <v>147</v>
      </c>
      <c r="D89" s="512" t="s">
        <v>146</v>
      </c>
      <c r="E89" s="513" t="s">
        <v>148</v>
      </c>
      <c r="F89" s="514" t="s">
        <v>65</v>
      </c>
      <c r="G89" s="515" t="s">
        <v>152</v>
      </c>
      <c r="H89" s="514" t="s">
        <v>88</v>
      </c>
      <c r="I89" s="515" t="s">
        <v>155</v>
      </c>
    </row>
    <row r="90" spans="1:13" x14ac:dyDescent="0.25">
      <c r="B90" s="377">
        <v>42353</v>
      </c>
      <c r="C90" s="378">
        <v>250</v>
      </c>
      <c r="D90" s="516">
        <v>4.45</v>
      </c>
      <c r="E90" s="379">
        <v>4.45</v>
      </c>
      <c r="F90" s="379">
        <f>C90*(E90-D90)</f>
        <v>0</v>
      </c>
      <c r="G90" s="379">
        <f>D90*C90</f>
        <v>1112.5</v>
      </c>
      <c r="H90" s="381">
        <f>(E90-D90)/D90</f>
        <v>0</v>
      </c>
      <c r="I90" s="379"/>
    </row>
    <row r="91" spans="1:13" x14ac:dyDescent="0.25">
      <c r="B91" s="377">
        <v>42356</v>
      </c>
      <c r="C91" s="378">
        <v>250</v>
      </c>
      <c r="D91" s="516">
        <v>4.45</v>
      </c>
      <c r="E91" s="379">
        <v>4.79</v>
      </c>
      <c r="F91" s="379">
        <f>C91*(E91-D91)</f>
        <v>84.999999999999972</v>
      </c>
      <c r="G91" s="379">
        <f>D91*C91</f>
        <v>1112.5</v>
      </c>
      <c r="H91" s="381">
        <f>(E91-D91)/D91</f>
        <v>7.6404494382022431E-2</v>
      </c>
      <c r="I91" s="379"/>
    </row>
    <row r="92" spans="1:13" x14ac:dyDescent="0.25">
      <c r="B92" s="377">
        <v>42382</v>
      </c>
      <c r="C92" s="378">
        <v>500</v>
      </c>
      <c r="D92" s="516">
        <v>4.3499999999999996</v>
      </c>
      <c r="E92" s="379">
        <v>4.17</v>
      </c>
      <c r="F92" s="379">
        <f t="shared" ref="F92:F100" si="20">C92*(E92-D92)</f>
        <v>-89.999999999999858</v>
      </c>
      <c r="G92" s="379">
        <f t="shared" ref="G92:G100" si="21">D92*C92</f>
        <v>2175</v>
      </c>
      <c r="H92" s="381">
        <f t="shared" ref="H92:H100" si="22">(E92-D92)/D92</f>
        <v>-4.1379310344827523E-2</v>
      </c>
      <c r="I92" s="379"/>
    </row>
    <row r="93" spans="1:13" x14ac:dyDescent="0.25">
      <c r="B93" s="377">
        <v>42398</v>
      </c>
      <c r="C93" s="378">
        <v>250</v>
      </c>
      <c r="D93" s="516">
        <v>4.18</v>
      </c>
      <c r="E93" s="379">
        <v>4.5199999999999996</v>
      </c>
      <c r="F93" s="379">
        <f t="shared" si="20"/>
        <v>84.999999999999972</v>
      </c>
      <c r="G93" s="379">
        <f t="shared" si="21"/>
        <v>1045</v>
      </c>
      <c r="H93" s="381">
        <f t="shared" si="22"/>
        <v>8.1339712918660254E-2</v>
      </c>
      <c r="I93" s="379"/>
    </row>
    <row r="94" spans="1:13" x14ac:dyDescent="0.25">
      <c r="B94" s="377">
        <v>42402</v>
      </c>
      <c r="C94" s="378">
        <v>500</v>
      </c>
      <c r="D94" s="516">
        <v>4.2699999999999996</v>
      </c>
      <c r="E94" s="379">
        <v>4.3499999999999996</v>
      </c>
      <c r="F94" s="379">
        <f t="shared" si="20"/>
        <v>40.000000000000036</v>
      </c>
      <c r="G94" s="379">
        <f t="shared" si="21"/>
        <v>2135</v>
      </c>
      <c r="H94" s="381">
        <f t="shared" si="22"/>
        <v>1.8735362997658097E-2</v>
      </c>
      <c r="I94" s="379"/>
    </row>
    <row r="95" spans="1:13" x14ac:dyDescent="0.25">
      <c r="B95" s="377">
        <v>42403</v>
      </c>
      <c r="C95" s="378">
        <v>500</v>
      </c>
      <c r="D95" s="516">
        <v>4.2699999999999996</v>
      </c>
      <c r="E95" s="379">
        <v>4.5999999999999996</v>
      </c>
      <c r="F95" s="379">
        <f t="shared" si="20"/>
        <v>165.00000000000003</v>
      </c>
      <c r="G95" s="379">
        <f t="shared" si="21"/>
        <v>2135</v>
      </c>
      <c r="H95" s="381">
        <f t="shared" si="22"/>
        <v>7.7283372365339609E-2</v>
      </c>
      <c r="I95" s="379"/>
    </row>
    <row r="96" spans="1:13" x14ac:dyDescent="0.25">
      <c r="B96" s="377">
        <v>42418</v>
      </c>
      <c r="C96" s="378">
        <v>250</v>
      </c>
      <c r="D96" s="516">
        <v>4.09</v>
      </c>
      <c r="E96" s="379">
        <v>4.25</v>
      </c>
      <c r="F96" s="379">
        <f t="shared" si="20"/>
        <v>40.000000000000036</v>
      </c>
      <c r="G96" s="379">
        <f t="shared" si="21"/>
        <v>1022.5</v>
      </c>
      <c r="H96" s="381">
        <f t="shared" si="22"/>
        <v>3.911980440097803E-2</v>
      </c>
      <c r="I96" s="379"/>
    </row>
    <row r="97" spans="2:9" x14ac:dyDescent="0.25">
      <c r="B97" s="377">
        <v>42421</v>
      </c>
      <c r="C97" s="378">
        <v>250</v>
      </c>
      <c r="D97" s="516">
        <v>4.09</v>
      </c>
      <c r="E97" s="379">
        <v>4.4400000000000004</v>
      </c>
      <c r="F97" s="379">
        <f t="shared" si="20"/>
        <v>87.500000000000128</v>
      </c>
      <c r="G97" s="379">
        <f t="shared" si="21"/>
        <v>1022.5</v>
      </c>
      <c r="H97" s="381">
        <f t="shared" si="22"/>
        <v>8.5574572127139495E-2</v>
      </c>
      <c r="I97" s="379"/>
    </row>
    <row r="98" spans="2:9" x14ac:dyDescent="0.25">
      <c r="B98" s="377">
        <v>42424</v>
      </c>
      <c r="C98" s="378">
        <v>250</v>
      </c>
      <c r="D98" s="516">
        <v>4.09</v>
      </c>
      <c r="E98" s="379">
        <v>5.3</v>
      </c>
      <c r="F98" s="379">
        <f t="shared" si="20"/>
        <v>302.5</v>
      </c>
      <c r="G98" s="379">
        <f t="shared" si="21"/>
        <v>1022.5</v>
      </c>
      <c r="H98" s="381">
        <f t="shared" si="22"/>
        <v>0.29584352078239606</v>
      </c>
      <c r="I98" s="379"/>
    </row>
    <row r="99" spans="2:9" x14ac:dyDescent="0.25">
      <c r="B99" s="377">
        <v>42430</v>
      </c>
      <c r="C99" s="378">
        <v>250</v>
      </c>
      <c r="D99" s="516">
        <v>4.09</v>
      </c>
      <c r="E99" s="379">
        <v>5.47</v>
      </c>
      <c r="F99" s="466">
        <f t="shared" si="20"/>
        <v>345</v>
      </c>
      <c r="G99" s="379">
        <f t="shared" si="21"/>
        <v>1022.5</v>
      </c>
      <c r="H99" s="381">
        <f t="shared" si="22"/>
        <v>0.33740831295843521</v>
      </c>
      <c r="I99" s="379"/>
    </row>
    <row r="100" spans="2:9" x14ac:dyDescent="0.25">
      <c r="B100" s="377">
        <v>42431</v>
      </c>
      <c r="C100" s="378">
        <v>250</v>
      </c>
      <c r="D100" s="516">
        <v>4.09</v>
      </c>
      <c r="E100" s="379">
        <v>5.63</v>
      </c>
      <c r="F100" s="466">
        <f t="shared" si="20"/>
        <v>385</v>
      </c>
      <c r="G100" s="379">
        <f t="shared" si="21"/>
        <v>1022.5</v>
      </c>
      <c r="H100" s="381">
        <f t="shared" si="22"/>
        <v>0.37652811735941322</v>
      </c>
      <c r="I100" s="379"/>
    </row>
    <row r="101" spans="2:9" x14ac:dyDescent="0.25">
      <c r="B101" s="377">
        <v>42436</v>
      </c>
      <c r="C101" s="378">
        <v>0</v>
      </c>
      <c r="D101" s="516"/>
      <c r="E101" s="379">
        <v>5.79</v>
      </c>
      <c r="F101" s="466">
        <v>434.93</v>
      </c>
      <c r="G101" s="379"/>
      <c r="H101" s="381"/>
      <c r="I101" s="3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 F90:F101 H23 H99:H101 F29:F66 H29:H66">
    <cfRule type="expression" dxfId="101" priority="19">
      <formula>F23&gt;0</formula>
    </cfRule>
    <cfRule type="expression" dxfId="100" priority="20">
      <formula>F23&lt;0</formula>
    </cfRule>
  </conditionalFormatting>
  <conditionalFormatting sqref="H90:H97">
    <cfRule type="expression" dxfId="99" priority="17">
      <formula>H90&gt;0</formula>
    </cfRule>
    <cfRule type="expression" dxfId="98" priority="18">
      <formula>H90&lt;0</formula>
    </cfRule>
  </conditionalFormatting>
  <conditionalFormatting sqref="H98">
    <cfRule type="expression" dxfId="97" priority="15">
      <formula>H98&gt;0</formula>
    </cfRule>
    <cfRule type="expression" dxfId="96" priority="16">
      <formula>H98&lt;0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5" priority="5">
      <formula>Q8&gt;0</formula>
    </cfRule>
    <cfRule type="expression" dxfId="94" priority="6">
      <formula>Q8&lt;0</formula>
    </cfRule>
  </conditionalFormatting>
  <conditionalFormatting sqref="Q7">
    <cfRule type="expression" dxfId="93" priority="7">
      <formula>Q7&gt;0</formula>
    </cfRule>
    <cfRule type="expression" dxfId="92" priority="8">
      <formula>Q7&lt;0</formula>
    </cfRule>
  </conditionalFormatting>
  <conditionalFormatting sqref="F25:F28">
    <cfRule type="expression" dxfId="91" priority="3">
      <formula>F25&gt;0</formula>
    </cfRule>
    <cfRule type="expression" dxfId="90" priority="4">
      <formula>F25&lt;0</formula>
    </cfRule>
  </conditionalFormatting>
  <conditionalFormatting sqref="H25:H28">
    <cfRule type="expression" dxfId="89" priority="1">
      <formula>H25&gt;0</formula>
    </cfRule>
    <cfRule type="expression" dxfId="8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4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4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42797</v>
      </c>
      <c r="X2" s="10">
        <v>70.67</v>
      </c>
      <c r="Y2" s="10">
        <v>70.81</v>
      </c>
      <c r="Z2" s="10">
        <v>70.22</v>
      </c>
      <c r="AA2" s="10">
        <v>70.739999999999995</v>
      </c>
      <c r="AB2" s="94">
        <v>6620900</v>
      </c>
      <c r="AC2" s="10">
        <v>70.739999999999995</v>
      </c>
      <c r="AD2" s="40">
        <f>Y2-Z2</f>
        <v>0.59000000000000341</v>
      </c>
      <c r="AE2" s="161">
        <f>AC2/AC3-1</f>
        <v>2.9774564015312421E-3</v>
      </c>
    </row>
    <row r="3" spans="1:40" x14ac:dyDescent="0.25">
      <c r="A3" s="23" t="s">
        <v>71</v>
      </c>
      <c r="B3" s="45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4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9">
        <f>(F31-K31-M31)/Q2</f>
        <v>78.683960000000042</v>
      </c>
      <c r="W3" s="132">
        <v>42796</v>
      </c>
      <c r="X3" s="10">
        <v>70</v>
      </c>
      <c r="Y3" s="10">
        <v>70.89</v>
      </c>
      <c r="Z3" s="10">
        <v>70</v>
      </c>
      <c r="AA3" s="10">
        <v>70.53</v>
      </c>
      <c r="AB3" s="94">
        <v>8658600</v>
      </c>
      <c r="AC3" s="10">
        <v>70.53</v>
      </c>
      <c r="AD3" s="40">
        <f t="shared" ref="AD3:AD66" si="1">Y3-Z3</f>
        <v>0.89000000000000057</v>
      </c>
      <c r="AE3" s="161">
        <f t="shared" ref="AE3:AE66" si="2">AC3/AC4-1</f>
        <v>4.8439948710643499E-3</v>
      </c>
      <c r="AN3" s="233"/>
    </row>
    <row r="4" spans="1:40" x14ac:dyDescent="0.25">
      <c r="B4" s="45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4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1">
        <v>68.19</v>
      </c>
      <c r="R4" s="499">
        <v>-2.8999999999999998E-3</v>
      </c>
      <c r="W4" s="132">
        <v>42795</v>
      </c>
      <c r="X4" s="10">
        <v>70.819999999999993</v>
      </c>
      <c r="Y4" s="10">
        <v>70.989999999999995</v>
      </c>
      <c r="Z4" s="10">
        <v>70.02</v>
      </c>
      <c r="AA4" s="10">
        <v>70.19</v>
      </c>
      <c r="AB4" s="94">
        <v>9509800</v>
      </c>
      <c r="AC4" s="10">
        <v>70.19</v>
      </c>
      <c r="AD4" s="40">
        <f t="shared" si="1"/>
        <v>0.96999999999999886</v>
      </c>
      <c r="AE4" s="161">
        <f t="shared" si="2"/>
        <v>-4.1146424517594093E-3</v>
      </c>
    </row>
    <row r="5" spans="1:40" x14ac:dyDescent="0.25">
      <c r="B5" s="45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4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17047.5</v>
      </c>
      <c r="T5" s="1"/>
      <c r="W5" s="132">
        <v>42794</v>
      </c>
      <c r="X5" s="10">
        <v>70.37</v>
      </c>
      <c r="Y5" s="10">
        <v>70.94</v>
      </c>
      <c r="Z5" s="10">
        <v>70.010000000000005</v>
      </c>
      <c r="AA5" s="10">
        <v>70.48</v>
      </c>
      <c r="AB5" s="94">
        <v>8756100</v>
      </c>
      <c r="AC5" s="10">
        <v>70.48</v>
      </c>
      <c r="AD5" s="40">
        <f t="shared" si="1"/>
        <v>0.92999999999999261</v>
      </c>
      <c r="AE5" s="161">
        <f t="shared" si="2"/>
        <v>-2.8368794326238955E-4</v>
      </c>
      <c r="AK5" s="233"/>
      <c r="AN5" s="233"/>
    </row>
    <row r="6" spans="1:40" x14ac:dyDescent="0.25">
      <c r="B6" s="45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4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19670.990000000009</v>
      </c>
      <c r="W6" s="132">
        <v>42793</v>
      </c>
      <c r="X6" s="10">
        <v>69.819999999999993</v>
      </c>
      <c r="Y6" s="10">
        <v>70.540000000000006</v>
      </c>
      <c r="Z6" s="10">
        <v>69.8</v>
      </c>
      <c r="AA6" s="10">
        <v>70.5</v>
      </c>
      <c r="AB6" s="94">
        <v>6338400</v>
      </c>
      <c r="AC6" s="10">
        <v>70.5</v>
      </c>
      <c r="AD6" s="40">
        <f t="shared" si="1"/>
        <v>0.74000000000000909</v>
      </c>
      <c r="AE6" s="161">
        <f t="shared" si="2"/>
        <v>8.0068630254503947E-3</v>
      </c>
    </row>
    <row r="7" spans="1:40" x14ac:dyDescent="0.25">
      <c r="B7" s="45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3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-2623.4900000000052</v>
      </c>
      <c r="R7">
        <v>200</v>
      </c>
      <c r="W7" s="132">
        <v>42790</v>
      </c>
      <c r="X7" s="10">
        <v>69.319999999999993</v>
      </c>
      <c r="Y7" s="10">
        <v>70.069999999999993</v>
      </c>
      <c r="Z7" s="10">
        <v>69.05</v>
      </c>
      <c r="AA7" s="10">
        <v>69.94</v>
      </c>
      <c r="AB7" s="94">
        <v>7363700</v>
      </c>
      <c r="AC7" s="10">
        <v>69.94</v>
      </c>
      <c r="AD7" s="40">
        <f t="shared" si="1"/>
        <v>1.019999999999996</v>
      </c>
      <c r="AE7" s="161">
        <f t="shared" si="2"/>
        <v>8.2168084186247103E-3</v>
      </c>
    </row>
    <row r="8" spans="1:40" x14ac:dyDescent="0.25">
      <c r="B8" s="45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3"/>
      <c r="H8" s="81"/>
      <c r="I8" s="7"/>
      <c r="J8" s="7"/>
      <c r="K8" s="7"/>
      <c r="O8" s="11" t="s">
        <v>183</v>
      </c>
      <c r="P8" s="34"/>
      <c r="Q8" s="2">
        <f>K31+M31-F31+Q2*Q4</f>
        <v>-2623.4900000000052</v>
      </c>
      <c r="T8" s="1"/>
      <c r="W8" s="132">
        <v>42789</v>
      </c>
      <c r="X8" s="10">
        <v>68.739999999999995</v>
      </c>
      <c r="Y8" s="10">
        <v>69.53</v>
      </c>
      <c r="Z8" s="10">
        <v>68.430000000000007</v>
      </c>
      <c r="AA8" s="10">
        <v>69.37</v>
      </c>
      <c r="AB8" s="94">
        <v>7518700</v>
      </c>
      <c r="AC8" s="10">
        <v>69.37</v>
      </c>
      <c r="AD8" s="40">
        <f t="shared" si="1"/>
        <v>1.0999999999999943</v>
      </c>
      <c r="AE8" s="161">
        <f t="shared" si="2"/>
        <v>7.8454162429173468E-3</v>
      </c>
    </row>
    <row r="9" spans="1:40" x14ac:dyDescent="0.25">
      <c r="A9" s="420"/>
      <c r="B9" s="45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3"/>
      <c r="H9" s="7"/>
      <c r="I9" s="7"/>
      <c r="J9" s="7"/>
      <c r="K9" s="7"/>
      <c r="O9" s="11" t="s">
        <v>213</v>
      </c>
      <c r="Q9" s="137">
        <f>IF(Q2=0, 0, Q8/Q6)</f>
        <v>-0.13336847814980354</v>
      </c>
      <c r="W9" s="132">
        <v>42788</v>
      </c>
      <c r="X9" s="10">
        <v>69.11</v>
      </c>
      <c r="Y9" s="10">
        <v>69.73</v>
      </c>
      <c r="Z9" s="10">
        <v>68.66</v>
      </c>
      <c r="AA9" s="10">
        <v>68.83</v>
      </c>
      <c r="AB9" s="94">
        <v>10053900</v>
      </c>
      <c r="AC9" s="10">
        <v>68.83</v>
      </c>
      <c r="AD9" s="40">
        <f t="shared" si="1"/>
        <v>1.0700000000000074</v>
      </c>
      <c r="AE9" s="161">
        <f t="shared" si="2"/>
        <v>-6.638764612498349E-3</v>
      </c>
    </row>
    <row r="10" spans="1:40" x14ac:dyDescent="0.25">
      <c r="A10" s="420" t="s">
        <v>215</v>
      </c>
      <c r="B10" s="45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3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42787</v>
      </c>
      <c r="X10" s="10">
        <v>70</v>
      </c>
      <c r="Y10" s="10">
        <v>70</v>
      </c>
      <c r="Z10" s="10">
        <v>68.83</v>
      </c>
      <c r="AA10" s="10">
        <v>69.290000000000006</v>
      </c>
      <c r="AB10" s="94">
        <v>11102700</v>
      </c>
      <c r="AC10" s="10">
        <v>69.290000000000006</v>
      </c>
      <c r="AD10" s="40">
        <f t="shared" si="1"/>
        <v>1.1700000000000017</v>
      </c>
      <c r="AE10" s="161">
        <f t="shared" si="2"/>
        <v>-8.017179670722796E-3</v>
      </c>
    </row>
    <row r="11" spans="1:40" x14ac:dyDescent="0.25">
      <c r="A11" s="420">
        <v>92.64</v>
      </c>
      <c r="B11" s="45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4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7">
        <f>VALUE(TRIM(CLEAN(MID(U58, FIND("(", U58)+1, 5))))</f>
        <v>2.9499999999999998E-2</v>
      </c>
      <c r="W11" s="132">
        <v>42783</v>
      </c>
      <c r="X11" s="10">
        <v>70.180000000000007</v>
      </c>
      <c r="Y11" s="10">
        <v>70.790000000000006</v>
      </c>
      <c r="Z11" s="10">
        <v>69.709999999999994</v>
      </c>
      <c r="AA11" s="10">
        <v>69.849999999999994</v>
      </c>
      <c r="AB11" s="94">
        <v>11181100</v>
      </c>
      <c r="AC11" s="10">
        <v>69.849999999999994</v>
      </c>
      <c r="AD11" s="40">
        <f t="shared" si="1"/>
        <v>1.0800000000000125</v>
      </c>
      <c r="AE11" s="161">
        <f t="shared" si="2"/>
        <v>-6.5424548428389961E-3</v>
      </c>
    </row>
    <row r="12" spans="1:40" x14ac:dyDescent="0.25">
      <c r="B12" s="45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4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42782</v>
      </c>
      <c r="X12" s="10">
        <v>70</v>
      </c>
      <c r="Y12" s="10">
        <v>70.67</v>
      </c>
      <c r="Z12" s="10">
        <v>69.260000000000005</v>
      </c>
      <c r="AA12" s="10">
        <v>70.31</v>
      </c>
      <c r="AB12" s="94">
        <v>10938700</v>
      </c>
      <c r="AC12" s="10">
        <v>70.31</v>
      </c>
      <c r="AD12" s="40">
        <f t="shared" si="1"/>
        <v>1.4099999999999966</v>
      </c>
      <c r="AE12" s="161">
        <f t="shared" si="2"/>
        <v>7.3065902578797193E-3</v>
      </c>
    </row>
    <row r="13" spans="1:40" x14ac:dyDescent="0.25">
      <c r="B13" s="454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4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42781</v>
      </c>
      <c r="X13" s="10">
        <v>67.7</v>
      </c>
      <c r="Y13" s="10">
        <v>69.98</v>
      </c>
      <c r="Z13" s="10">
        <v>67.66</v>
      </c>
      <c r="AA13" s="10">
        <v>69.8</v>
      </c>
      <c r="AB13" s="94">
        <v>16496800</v>
      </c>
      <c r="AC13" s="10">
        <v>69.8</v>
      </c>
      <c r="AD13" s="40">
        <f t="shared" si="1"/>
        <v>2.3200000000000074</v>
      </c>
      <c r="AE13" s="161">
        <f t="shared" si="2"/>
        <v>3.3308660251665456E-2</v>
      </c>
    </row>
    <row r="14" spans="1:40" x14ac:dyDescent="0.25">
      <c r="B14" s="454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4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42780</v>
      </c>
      <c r="X14" s="10">
        <v>68.599999999999994</v>
      </c>
      <c r="Y14" s="10">
        <v>68.67</v>
      </c>
      <c r="Z14" s="10">
        <v>67.33</v>
      </c>
      <c r="AA14" s="10">
        <v>67.55</v>
      </c>
      <c r="AB14" s="94">
        <v>14912600</v>
      </c>
      <c r="AC14" s="10">
        <v>67.55</v>
      </c>
      <c r="AD14" s="40">
        <f t="shared" si="1"/>
        <v>1.3400000000000034</v>
      </c>
      <c r="AE14" s="161">
        <f t="shared" si="2"/>
        <v>-1.4781966001479185E-3</v>
      </c>
    </row>
    <row r="15" spans="1:40" x14ac:dyDescent="0.25">
      <c r="B15" s="454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4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42779</v>
      </c>
      <c r="X15" s="10">
        <v>66.81</v>
      </c>
      <c r="Y15" s="10">
        <v>67.790000000000006</v>
      </c>
      <c r="Z15" s="10">
        <v>66.5</v>
      </c>
      <c r="AA15" s="10">
        <v>67.650000000000006</v>
      </c>
      <c r="AB15" s="94">
        <v>15816600</v>
      </c>
      <c r="AC15" s="10">
        <v>67.650000000000006</v>
      </c>
      <c r="AD15" s="40">
        <f t="shared" si="1"/>
        <v>1.2900000000000063</v>
      </c>
      <c r="AE15" s="161">
        <f t="shared" si="2"/>
        <v>1.9439421338155682E-2</v>
      </c>
    </row>
    <row r="16" spans="1:40" x14ac:dyDescent="0.25">
      <c r="B16" s="454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4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42776</v>
      </c>
      <c r="X16" s="10">
        <v>65.849999999999994</v>
      </c>
      <c r="Y16" s="10">
        <v>66.78</v>
      </c>
      <c r="Z16" s="10">
        <v>65.430000000000007</v>
      </c>
      <c r="AA16" s="10">
        <v>66.36</v>
      </c>
      <c r="AB16" s="94">
        <v>16179500</v>
      </c>
      <c r="AC16" s="10">
        <v>66.36</v>
      </c>
      <c r="AD16" s="40">
        <f t="shared" si="1"/>
        <v>1.3499999999999943</v>
      </c>
      <c r="AE16" s="161">
        <f t="shared" si="2"/>
        <v>1.1739594450373536E-2</v>
      </c>
    </row>
    <row r="17" spans="1:31" x14ac:dyDescent="0.25">
      <c r="B17" s="45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4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42775</v>
      </c>
      <c r="X17" s="10">
        <v>66.34</v>
      </c>
      <c r="Y17" s="10">
        <v>66.790000000000006</v>
      </c>
      <c r="Z17" s="10">
        <v>65.38</v>
      </c>
      <c r="AA17" s="10">
        <v>65.59</v>
      </c>
      <c r="AB17" s="94">
        <v>23004000</v>
      </c>
      <c r="AC17" s="10">
        <v>65.59</v>
      </c>
      <c r="AD17" s="40">
        <f t="shared" si="1"/>
        <v>1.4100000000000108</v>
      </c>
      <c r="AE17" s="161">
        <f t="shared" si="2"/>
        <v>-1.8554541373634548E-2</v>
      </c>
    </row>
    <row r="18" spans="1:31" x14ac:dyDescent="0.25">
      <c r="B18" s="45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4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42774</v>
      </c>
      <c r="X18" s="10">
        <v>67.27</v>
      </c>
      <c r="Y18" s="10">
        <v>67.27</v>
      </c>
      <c r="Z18" s="10">
        <v>65.75</v>
      </c>
      <c r="AA18" s="10">
        <v>66.83</v>
      </c>
      <c r="AB18" s="94">
        <v>51446800</v>
      </c>
      <c r="AC18" s="10">
        <v>66.83</v>
      </c>
      <c r="AD18" s="40">
        <f t="shared" si="1"/>
        <v>1.519999999999996</v>
      </c>
      <c r="AE18" s="161">
        <f t="shared" si="2"/>
        <v>-8.6147955695337064E-2</v>
      </c>
    </row>
    <row r="19" spans="1:31" x14ac:dyDescent="0.25">
      <c r="B19" s="45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4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42773</v>
      </c>
      <c r="X19" s="10">
        <v>72.56</v>
      </c>
      <c r="Y19" s="10">
        <v>73.3</v>
      </c>
      <c r="Z19" s="10">
        <v>72.41</v>
      </c>
      <c r="AA19" s="10">
        <v>73.13</v>
      </c>
      <c r="AB19" s="94">
        <v>12000700</v>
      </c>
      <c r="AC19" s="10">
        <v>73.13</v>
      </c>
      <c r="AD19" s="40">
        <f t="shared" si="1"/>
        <v>0.89000000000000057</v>
      </c>
      <c r="AE19" s="161">
        <f t="shared" si="2"/>
        <v>1.0222406409724938E-2</v>
      </c>
    </row>
    <row r="20" spans="1:31" x14ac:dyDescent="0.25">
      <c r="B20" s="45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4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42772</v>
      </c>
      <c r="X20" s="10">
        <v>72.02</v>
      </c>
      <c r="Y20" s="10">
        <v>72.67</v>
      </c>
      <c r="Z20" s="10">
        <v>71.44</v>
      </c>
      <c r="AA20" s="10">
        <v>72.39</v>
      </c>
      <c r="AB20" s="94">
        <v>7493500</v>
      </c>
      <c r="AC20" s="10">
        <v>72.39</v>
      </c>
      <c r="AD20" s="40">
        <f t="shared" si="1"/>
        <v>1.230000000000004</v>
      </c>
      <c r="AE20" s="161">
        <f t="shared" si="2"/>
        <v>6.9118053635608412E-4</v>
      </c>
    </row>
    <row r="21" spans="1:31" x14ac:dyDescent="0.25">
      <c r="B21" s="45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4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42769</v>
      </c>
      <c r="X21" s="10">
        <v>72.739999999999995</v>
      </c>
      <c r="Y21" s="10">
        <v>72.75</v>
      </c>
      <c r="Z21" s="10">
        <v>71.77</v>
      </c>
      <c r="AA21" s="10">
        <v>72.34</v>
      </c>
      <c r="AB21" s="94">
        <v>7980600</v>
      </c>
      <c r="AC21" s="10">
        <v>72.34</v>
      </c>
      <c r="AD21" s="40">
        <f t="shared" si="1"/>
        <v>0.98000000000000398</v>
      </c>
      <c r="AE21" s="161">
        <f t="shared" si="2"/>
        <v>1.245674740484537E-3</v>
      </c>
    </row>
    <row r="22" spans="1:31" x14ac:dyDescent="0.25">
      <c r="B22" s="45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42768</v>
      </c>
      <c r="X22" s="10">
        <v>72.61</v>
      </c>
      <c r="Y22" s="10">
        <v>72.83</v>
      </c>
      <c r="Z22" s="10">
        <v>71.78</v>
      </c>
      <c r="AA22" s="10">
        <v>72.25</v>
      </c>
      <c r="AB22" s="94">
        <v>8752000</v>
      </c>
      <c r="AC22" s="10">
        <v>72.25</v>
      </c>
      <c r="AD22" s="40">
        <f t="shared" si="1"/>
        <v>1.0499999999999972</v>
      </c>
      <c r="AE22" s="161">
        <f t="shared" si="2"/>
        <v>-7.8275199121119465E-3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42767</v>
      </c>
      <c r="X23" s="10">
        <v>72.72</v>
      </c>
      <c r="Y23" s="10">
        <v>72.88</v>
      </c>
      <c r="Z23" s="10">
        <v>72.06</v>
      </c>
      <c r="AA23" s="10">
        <v>72.819999999999993</v>
      </c>
      <c r="AB23" s="94">
        <v>7416200</v>
      </c>
      <c r="AC23" s="10">
        <v>72.819999999999993</v>
      </c>
      <c r="AD23" s="40">
        <f t="shared" si="1"/>
        <v>0.81999999999999318</v>
      </c>
      <c r="AE23" s="161">
        <f t="shared" si="2"/>
        <v>5.1069703243615816E-3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42766</v>
      </c>
      <c r="X24" s="10">
        <v>71.13</v>
      </c>
      <c r="Y24" s="10">
        <v>72.58</v>
      </c>
      <c r="Z24" s="10">
        <v>70.989999999999995</v>
      </c>
      <c r="AA24" s="10">
        <v>72.45</v>
      </c>
      <c r="AB24" s="94">
        <v>10340100</v>
      </c>
      <c r="AC24" s="10">
        <v>72.45</v>
      </c>
      <c r="AD24" s="40">
        <f t="shared" si="1"/>
        <v>1.5900000000000034</v>
      </c>
      <c r="AE24" s="161">
        <f t="shared" si="2"/>
        <v>1.3145014683261014E-2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42765</v>
      </c>
      <c r="X25" s="10">
        <v>71</v>
      </c>
      <c r="Y25" s="10">
        <v>71.67</v>
      </c>
      <c r="Z25" s="10">
        <v>70.75</v>
      </c>
      <c r="AA25" s="10">
        <v>71.510000000000005</v>
      </c>
      <c r="AB25" s="94">
        <v>7207100</v>
      </c>
      <c r="AC25" s="10">
        <v>71.510000000000005</v>
      </c>
      <c r="AD25" s="40">
        <f t="shared" si="1"/>
        <v>0.92000000000000171</v>
      </c>
      <c r="AE25" s="161">
        <f t="shared" si="2"/>
        <v>3.5082795397136657E-3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42762</v>
      </c>
      <c r="X26" s="10">
        <v>71.430000000000007</v>
      </c>
      <c r="Y26" s="10">
        <v>72.17</v>
      </c>
      <c r="Z26" s="10">
        <v>71.16</v>
      </c>
      <c r="AA26" s="10">
        <v>71.260000000000005</v>
      </c>
      <c r="AB26" s="94">
        <v>6933900</v>
      </c>
      <c r="AC26" s="10">
        <v>71.260000000000005</v>
      </c>
      <c r="AD26" s="40">
        <f t="shared" si="1"/>
        <v>1.0100000000000051</v>
      </c>
      <c r="AE26" s="161">
        <f t="shared" si="2"/>
        <v>5.6163998876734844E-4</v>
      </c>
    </row>
    <row r="27" spans="1:31" x14ac:dyDescent="0.25">
      <c r="B27" s="498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42761</v>
      </c>
      <c r="X27" s="10">
        <v>71.78</v>
      </c>
      <c r="Y27" s="10">
        <v>71.849999999999994</v>
      </c>
      <c r="Z27" s="10">
        <v>71.150000000000006</v>
      </c>
      <c r="AA27" s="10">
        <v>71.22</v>
      </c>
      <c r="AB27" s="94">
        <v>8562500</v>
      </c>
      <c r="AC27" s="10">
        <v>71.22</v>
      </c>
      <c r="AD27" s="40">
        <f t="shared" si="1"/>
        <v>0.69999999999998863</v>
      </c>
      <c r="AE27" s="161">
        <f t="shared" si="2"/>
        <v>-9.5953274926992016E-3</v>
      </c>
    </row>
    <row r="28" spans="1:31" x14ac:dyDescent="0.25">
      <c r="W28" s="132">
        <v>42760</v>
      </c>
      <c r="X28" s="10">
        <v>70.819999999999993</v>
      </c>
      <c r="Y28" s="10">
        <v>72.34</v>
      </c>
      <c r="Z28" s="10">
        <v>70.72</v>
      </c>
      <c r="AA28" s="10">
        <v>71.91</v>
      </c>
      <c r="AB28" s="94">
        <v>14001600</v>
      </c>
      <c r="AC28" s="10">
        <v>71.91</v>
      </c>
      <c r="AD28" s="40">
        <f t="shared" si="1"/>
        <v>1.6200000000000045</v>
      </c>
      <c r="AE28" s="161">
        <f t="shared" si="2"/>
        <v>2.3629893238434008E-2</v>
      </c>
    </row>
    <row r="29" spans="1:31" x14ac:dyDescent="0.25">
      <c r="W29" s="132">
        <v>42759</v>
      </c>
      <c r="X29" s="10">
        <v>70.599999999999994</v>
      </c>
      <c r="Y29" s="10">
        <v>70.98</v>
      </c>
      <c r="Z29" s="10">
        <v>69.78</v>
      </c>
      <c r="AA29" s="10">
        <v>70.25</v>
      </c>
      <c r="AB29" s="94">
        <v>10868900</v>
      </c>
      <c r="AC29" s="10">
        <v>70.25</v>
      </c>
      <c r="AD29" s="40">
        <f t="shared" si="1"/>
        <v>1.2000000000000028</v>
      </c>
      <c r="AE29" s="161">
        <f t="shared" si="2"/>
        <v>-6.2243598811713152E-3</v>
      </c>
    </row>
    <row r="30" spans="1:31" x14ac:dyDescent="0.25">
      <c r="C30" s="4"/>
      <c r="D30" s="3"/>
      <c r="E30" s="3"/>
      <c r="F30" s="3"/>
      <c r="H30" s="71"/>
      <c r="W30" s="132">
        <v>42758</v>
      </c>
      <c r="X30" s="10">
        <v>70.87</v>
      </c>
      <c r="Y30" s="10">
        <v>71.290000000000006</v>
      </c>
      <c r="Z30" s="10">
        <v>70.3</v>
      </c>
      <c r="AA30" s="10">
        <v>70.69</v>
      </c>
      <c r="AB30" s="94">
        <v>9641100</v>
      </c>
      <c r="AC30" s="10">
        <v>70.69</v>
      </c>
      <c r="AD30" s="40">
        <f t="shared" si="1"/>
        <v>0.99000000000000909</v>
      </c>
      <c r="AE30" s="161">
        <f t="shared" si="2"/>
        <v>-4.506407548232727E-3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305.8</v>
      </c>
      <c r="W31" s="132">
        <v>42755</v>
      </c>
      <c r="X31" s="10">
        <v>71.97</v>
      </c>
      <c r="Y31" s="10">
        <v>72</v>
      </c>
      <c r="Z31" s="10">
        <v>70.58</v>
      </c>
      <c r="AA31" s="10">
        <v>71.010000000000005</v>
      </c>
      <c r="AB31" s="94">
        <v>10153500</v>
      </c>
      <c r="AC31" s="10">
        <v>71.010000000000005</v>
      </c>
      <c r="AD31" s="40">
        <f t="shared" si="1"/>
        <v>1.4200000000000017</v>
      </c>
      <c r="AE31" s="161">
        <f t="shared" si="2"/>
        <v>-7.8245074751989163E-3</v>
      </c>
    </row>
    <row r="32" spans="1:31" ht="15.75" thickBot="1" x14ac:dyDescent="0.3">
      <c r="A32" s="353" t="s">
        <v>197</v>
      </c>
      <c r="B32" s="354"/>
      <c r="C32" s="355">
        <f>SumByColor($A$32,C2:C30)</f>
        <v>675</v>
      </c>
      <c r="D32" s="355"/>
      <c r="E32" s="355"/>
      <c r="F32" s="356">
        <f>SumByColor($A$32,F2:F30)</f>
        <v>52651</v>
      </c>
      <c r="G32" s="355"/>
      <c r="H32" s="355">
        <f>SumByColor($A$32,H2:H30)</f>
        <v>675</v>
      </c>
      <c r="I32" s="355"/>
      <c r="J32" s="355"/>
      <c r="K32" s="356">
        <f>SumByColor($A$32,K2:K30)</f>
        <v>52770</v>
      </c>
      <c r="L32" s="355"/>
      <c r="M32" s="356">
        <f>SumByColor($A$32,M2:M30)</f>
        <v>0</v>
      </c>
      <c r="W32" s="132">
        <v>42754</v>
      </c>
      <c r="X32" s="10">
        <v>71.819999999999993</v>
      </c>
      <c r="Y32" s="10">
        <v>72.25</v>
      </c>
      <c r="Z32" s="10">
        <v>71.23</v>
      </c>
      <c r="AA32" s="10">
        <v>71.569999999999993</v>
      </c>
      <c r="AB32" s="94">
        <v>9799800</v>
      </c>
      <c r="AC32" s="10">
        <v>71.569999999999993</v>
      </c>
      <c r="AD32" s="40">
        <f t="shared" si="1"/>
        <v>1.019999999999996</v>
      </c>
      <c r="AE32" s="161">
        <f t="shared" si="2"/>
        <v>-7.7637598779980443E-3</v>
      </c>
    </row>
    <row r="33" spans="1:31" x14ac:dyDescent="0.25">
      <c r="W33" s="132">
        <v>42753</v>
      </c>
      <c r="X33" s="10">
        <v>72.239999999999995</v>
      </c>
      <c r="Y33" s="10">
        <v>72.47</v>
      </c>
      <c r="Z33" s="10">
        <v>71.5</v>
      </c>
      <c r="AA33" s="10">
        <v>72.13</v>
      </c>
      <c r="AB33" s="94">
        <v>9886700</v>
      </c>
      <c r="AC33" s="10">
        <v>72.13</v>
      </c>
      <c r="AD33" s="40">
        <f t="shared" si="1"/>
        <v>0.96999999999999886</v>
      </c>
      <c r="AE33" s="161">
        <f t="shared" si="2"/>
        <v>3.0593797802809242E-3</v>
      </c>
    </row>
    <row r="34" spans="1:31" x14ac:dyDescent="0.25">
      <c r="W34" s="132">
        <v>42752</v>
      </c>
      <c r="X34" s="10">
        <v>72.92</v>
      </c>
      <c r="Y34" s="10">
        <v>72.92</v>
      </c>
      <c r="Z34" s="10">
        <v>71.73</v>
      </c>
      <c r="AA34" s="10">
        <v>71.91</v>
      </c>
      <c r="AB34" s="94">
        <v>11660900</v>
      </c>
      <c r="AC34" s="10">
        <v>71.91</v>
      </c>
      <c r="AD34" s="40">
        <f t="shared" si="1"/>
        <v>1.1899999999999977</v>
      </c>
      <c r="AE34" s="161">
        <f t="shared" si="2"/>
        <v>-1.5875188175721866E-2</v>
      </c>
    </row>
    <row r="35" spans="1:31" x14ac:dyDescent="0.25">
      <c r="W35" s="132">
        <v>42748</v>
      </c>
      <c r="X35" s="10">
        <v>73.63</v>
      </c>
      <c r="Y35" s="10">
        <v>73.78</v>
      </c>
      <c r="Z35" s="10">
        <v>73</v>
      </c>
      <c r="AA35" s="10">
        <v>73.069999999999993</v>
      </c>
      <c r="AB35" s="94">
        <v>8218400</v>
      </c>
      <c r="AC35" s="10">
        <v>73.069999999999993</v>
      </c>
      <c r="AD35" s="40">
        <f t="shared" si="1"/>
        <v>0.78000000000000114</v>
      </c>
      <c r="AE35" s="161">
        <f t="shared" si="2"/>
        <v>-3.9531079607416642E-3</v>
      </c>
    </row>
    <row r="36" spans="1:31" x14ac:dyDescent="0.25">
      <c r="W36" s="132">
        <v>42747</v>
      </c>
      <c r="X36" s="10">
        <v>73.53</v>
      </c>
      <c r="Y36" s="10">
        <v>73.680000000000007</v>
      </c>
      <c r="Z36" s="10">
        <v>72.930000000000007</v>
      </c>
      <c r="AA36" s="10">
        <v>73.36</v>
      </c>
      <c r="AB36" s="94">
        <v>7042000</v>
      </c>
      <c r="AC36" s="10">
        <v>73.36</v>
      </c>
      <c r="AD36" s="40">
        <f t="shared" si="1"/>
        <v>0.75</v>
      </c>
      <c r="AE36" s="161">
        <f t="shared" si="2"/>
        <v>-5.5578148298766061E-3</v>
      </c>
    </row>
    <row r="37" spans="1:31" x14ac:dyDescent="0.25">
      <c r="W37" s="132">
        <v>42746</v>
      </c>
      <c r="X37" s="10">
        <v>75.52</v>
      </c>
      <c r="Y37" s="10">
        <v>75.55</v>
      </c>
      <c r="Z37" s="10">
        <v>73.010000000000005</v>
      </c>
      <c r="AA37" s="10">
        <v>73.77</v>
      </c>
      <c r="AB37" s="94">
        <v>14106700</v>
      </c>
      <c r="AC37" s="10">
        <v>73.77</v>
      </c>
      <c r="AD37" s="40">
        <f t="shared" si="1"/>
        <v>2.539999999999992</v>
      </c>
      <c r="AE37" s="161">
        <f t="shared" si="2"/>
        <v>-1.6531129182775772E-2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42745</v>
      </c>
      <c r="X38" s="10">
        <v>76.459999999999994</v>
      </c>
      <c r="Y38" s="10">
        <v>76.5</v>
      </c>
      <c r="Z38" s="10">
        <v>74.930000000000007</v>
      </c>
      <c r="AA38" s="10">
        <v>75.010000000000005</v>
      </c>
      <c r="AB38" s="94">
        <v>8795800</v>
      </c>
      <c r="AC38" s="10">
        <v>75.010000000000005</v>
      </c>
      <c r="AD38" s="40">
        <f t="shared" si="1"/>
        <v>1.5699999999999932</v>
      </c>
      <c r="AE38" s="161">
        <f t="shared" si="2"/>
        <v>-1.0944092827004148E-2</v>
      </c>
    </row>
    <row r="39" spans="1:31" x14ac:dyDescent="0.25">
      <c r="A39" s="8"/>
      <c r="B39" s="190" t="s">
        <v>114</v>
      </c>
      <c r="C39" s="190" t="s">
        <v>147</v>
      </c>
      <c r="D39" s="191" t="s">
        <v>146</v>
      </c>
      <c r="E39" s="193" t="s">
        <v>148</v>
      </c>
      <c r="F39" s="194" t="s">
        <v>65</v>
      </c>
      <c r="G39" s="228" t="s">
        <v>152</v>
      </c>
      <c r="H39" s="194" t="s">
        <v>88</v>
      </c>
      <c r="I39" s="194" t="s">
        <v>155</v>
      </c>
      <c r="J39" s="8"/>
      <c r="K39" s="8"/>
      <c r="L39" s="8"/>
      <c r="M39" s="8"/>
      <c r="W39" s="132">
        <v>42744</v>
      </c>
      <c r="X39" s="10">
        <v>75.930000000000007</v>
      </c>
      <c r="Y39" s="10">
        <v>76.09</v>
      </c>
      <c r="Z39" s="10">
        <v>75.27</v>
      </c>
      <c r="AA39" s="10">
        <v>75.84</v>
      </c>
      <c r="AB39" s="94">
        <v>10152000</v>
      </c>
      <c r="AC39" s="10">
        <v>75.84</v>
      </c>
      <c r="AD39" s="40">
        <f t="shared" si="1"/>
        <v>0.82000000000000739</v>
      </c>
      <c r="AE39" s="161">
        <f t="shared" si="2"/>
        <v>4.6363756788980748E-3</v>
      </c>
    </row>
    <row r="40" spans="1:31" x14ac:dyDescent="0.25">
      <c r="B40" s="192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0">
        <f>(E40-D40)/D40</f>
        <v>8.5714285714285618E-2</v>
      </c>
      <c r="I40" s="350"/>
      <c r="W40" s="132">
        <v>42741</v>
      </c>
      <c r="X40" s="10">
        <v>76.45</v>
      </c>
      <c r="Y40" s="10">
        <v>76.5</v>
      </c>
      <c r="Z40" s="10">
        <v>75.41</v>
      </c>
      <c r="AA40" s="10">
        <v>75.489999999999995</v>
      </c>
      <c r="AB40" s="94">
        <v>8949200</v>
      </c>
      <c r="AC40" s="10">
        <v>75.489999999999995</v>
      </c>
      <c r="AD40" s="40">
        <f t="shared" si="1"/>
        <v>1.0900000000000034</v>
      </c>
      <c r="AE40" s="161">
        <f t="shared" si="2"/>
        <v>-6.84120510459163E-3</v>
      </c>
    </row>
    <row r="41" spans="1:31" x14ac:dyDescent="0.25">
      <c r="B41" s="192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0">
        <f t="shared" ref="H41:H49" si="6">(E41-D41)/D41</f>
        <v>4.070450097847355E-2</v>
      </c>
      <c r="I41" s="350"/>
      <c r="W41" s="132">
        <v>42740</v>
      </c>
      <c r="X41" s="10">
        <v>76.84</v>
      </c>
      <c r="Y41" s="10">
        <v>76.849999999999994</v>
      </c>
      <c r="Z41" s="10">
        <v>75.569999999999993</v>
      </c>
      <c r="AA41" s="10">
        <v>76.010000000000005</v>
      </c>
      <c r="AB41" s="94">
        <v>9410700</v>
      </c>
      <c r="AC41" s="10">
        <v>76.010000000000005</v>
      </c>
      <c r="AD41" s="40">
        <f t="shared" si="1"/>
        <v>1.2800000000000011</v>
      </c>
      <c r="AE41" s="161">
        <f t="shared" si="2"/>
        <v>-4.8442000523696294E-3</v>
      </c>
    </row>
    <row r="42" spans="1:31" ht="20.25" thickBot="1" x14ac:dyDescent="0.35">
      <c r="B42" s="192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0">
        <f t="shared" si="6"/>
        <v>-2.1232876712328784E-2</v>
      </c>
      <c r="I42" s="350"/>
      <c r="O42" s="703" t="s">
        <v>78</v>
      </c>
      <c r="P42" s="703"/>
      <c r="T42" s="90" t="s">
        <v>113</v>
      </c>
      <c r="W42" s="132">
        <v>42739</v>
      </c>
      <c r="X42" s="10">
        <v>74.53</v>
      </c>
      <c r="Y42" s="10">
        <v>76.98</v>
      </c>
      <c r="Z42" s="10">
        <v>74.38</v>
      </c>
      <c r="AA42" s="10">
        <v>76.38</v>
      </c>
      <c r="AB42" s="94">
        <v>14753300</v>
      </c>
      <c r="AC42" s="10">
        <v>76.38</v>
      </c>
      <c r="AD42" s="40">
        <f t="shared" si="1"/>
        <v>2.6000000000000085</v>
      </c>
      <c r="AE42" s="161">
        <f t="shared" si="2"/>
        <v>2.9935275080906099E-2</v>
      </c>
    </row>
    <row r="43" spans="1:31" ht="15.75" thickTop="1" x14ac:dyDescent="0.25">
      <c r="B43" s="192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0">
        <f t="shared" si="6"/>
        <v>6.4579256360077939E-3</v>
      </c>
      <c r="I43" s="350"/>
      <c r="O43" s="82">
        <v>1.1000000000000001</v>
      </c>
      <c r="P43" s="82">
        <f>O43*$Q$4</f>
        <v>75.009</v>
      </c>
      <c r="Q43" s="2"/>
      <c r="T43" s="127" t="s">
        <v>98</v>
      </c>
      <c r="U43" s="97">
        <v>70.53</v>
      </c>
      <c r="W43" s="132">
        <v>42738</v>
      </c>
      <c r="X43" s="10">
        <v>72.34</v>
      </c>
      <c r="Y43" s="10">
        <v>74.23</v>
      </c>
      <c r="Z43" s="10">
        <v>72.180000000000007</v>
      </c>
      <c r="AA43" s="10">
        <v>74.16</v>
      </c>
      <c r="AB43" s="94">
        <v>10880000</v>
      </c>
      <c r="AC43" s="10">
        <v>74.16</v>
      </c>
      <c r="AD43" s="40">
        <f t="shared" si="1"/>
        <v>2.0499999999999972</v>
      </c>
      <c r="AE43" s="161">
        <f t="shared" si="2"/>
        <v>3.5609551738583933E-2</v>
      </c>
    </row>
    <row r="44" spans="1:31" x14ac:dyDescent="0.25">
      <c r="B44" s="192">
        <v>42376</v>
      </c>
      <c r="C44" s="439">
        <v>50</v>
      </c>
      <c r="D44" s="443">
        <v>99.13</v>
      </c>
      <c r="E44" s="337">
        <v>96.25</v>
      </c>
      <c r="F44" s="40">
        <f t="shared" si="4"/>
        <v>-143.99999999999977</v>
      </c>
      <c r="G44" s="40">
        <f t="shared" si="5"/>
        <v>4956.5</v>
      </c>
      <c r="H44" s="230">
        <f t="shared" si="6"/>
        <v>-2.9052759003328918E-2</v>
      </c>
      <c r="I44" s="350"/>
      <c r="O44" s="82">
        <v>1.0900000000000001</v>
      </c>
      <c r="P44" s="82">
        <f t="shared" ref="P44:P63" si="7">O44*$Q$4</f>
        <v>74.327100000000002</v>
      </c>
      <c r="Q44" s="2"/>
      <c r="T44" s="92" t="s">
        <v>99</v>
      </c>
      <c r="U44" s="87">
        <v>70.67</v>
      </c>
      <c r="W44" s="132">
        <v>42734</v>
      </c>
      <c r="X44" s="10">
        <v>72.03</v>
      </c>
      <c r="Y44" s="10">
        <v>72.260000000000005</v>
      </c>
      <c r="Z44" s="10">
        <v>71.3</v>
      </c>
      <c r="AA44" s="10">
        <v>71.61</v>
      </c>
      <c r="AB44" s="94">
        <v>9198400</v>
      </c>
      <c r="AC44" s="10">
        <v>71.61</v>
      </c>
      <c r="AD44" s="40">
        <f t="shared" si="1"/>
        <v>0.96000000000000796</v>
      </c>
      <c r="AE44" s="161">
        <f t="shared" si="2"/>
        <v>-7.2092056009981365E-3</v>
      </c>
    </row>
    <row r="45" spans="1:31" x14ac:dyDescent="0.25">
      <c r="B45" s="192">
        <v>42402</v>
      </c>
      <c r="C45" s="281">
        <v>60</v>
      </c>
      <c r="D45" s="337">
        <v>96.37</v>
      </c>
      <c r="E45" s="337">
        <v>82.71</v>
      </c>
      <c r="F45" s="40">
        <f t="shared" si="4"/>
        <v>-819.60000000000059</v>
      </c>
      <c r="G45" s="40">
        <f t="shared" si="5"/>
        <v>5782.2000000000007</v>
      </c>
      <c r="H45" s="230">
        <f t="shared" si="6"/>
        <v>-0.14174535643872585</v>
      </c>
      <c r="I45" s="350"/>
      <c r="O45" s="82">
        <v>1.08</v>
      </c>
      <c r="P45" s="82">
        <f t="shared" si="7"/>
        <v>73.645200000000003</v>
      </c>
      <c r="Q45" s="2"/>
      <c r="T45" s="92" t="s">
        <v>100</v>
      </c>
      <c r="U45" s="87" t="s">
        <v>720</v>
      </c>
      <c r="W45" s="132">
        <v>42733</v>
      </c>
      <c r="X45" s="10">
        <v>72.77</v>
      </c>
      <c r="Y45" s="10">
        <v>72.849999999999994</v>
      </c>
      <c r="Z45" s="10">
        <v>71.94</v>
      </c>
      <c r="AA45" s="10">
        <v>72.13</v>
      </c>
      <c r="AB45" s="94">
        <v>7500600</v>
      </c>
      <c r="AC45" s="10">
        <v>72.13</v>
      </c>
      <c r="AD45" s="40">
        <f t="shared" si="1"/>
        <v>0.90999999999999659</v>
      </c>
      <c r="AE45" s="161">
        <f t="shared" si="2"/>
        <v>-8.7948330355915871E-3</v>
      </c>
    </row>
    <row r="46" spans="1:31" x14ac:dyDescent="0.25">
      <c r="B46" s="192">
        <v>42409</v>
      </c>
      <c r="C46" s="281">
        <v>50</v>
      </c>
      <c r="D46" s="337">
        <v>98.03</v>
      </c>
      <c r="E46" s="337">
        <v>87.25</v>
      </c>
      <c r="F46" s="40">
        <f t="shared" si="4"/>
        <v>-539</v>
      </c>
      <c r="G46" s="40">
        <f t="shared" si="5"/>
        <v>4901.5</v>
      </c>
      <c r="H46" s="230">
        <f t="shared" si="6"/>
        <v>-0.10996633683566256</v>
      </c>
      <c r="I46" s="350"/>
      <c r="O46" s="82">
        <v>1.07</v>
      </c>
      <c r="P46" s="82">
        <f t="shared" si="7"/>
        <v>72.963300000000004</v>
      </c>
      <c r="Q46" s="2"/>
      <c r="T46" s="92" t="s">
        <v>101</v>
      </c>
      <c r="U46" s="87" t="s">
        <v>721</v>
      </c>
      <c r="W46" s="132">
        <v>42732</v>
      </c>
      <c r="X46" s="10">
        <v>73.61</v>
      </c>
      <c r="Y46" s="10">
        <v>73.7</v>
      </c>
      <c r="Z46" s="10">
        <v>72.62</v>
      </c>
      <c r="AA46" s="10">
        <v>72.77</v>
      </c>
      <c r="AB46" s="94">
        <v>6333000</v>
      </c>
      <c r="AC46" s="10">
        <v>72.77</v>
      </c>
      <c r="AD46" s="40">
        <f t="shared" si="1"/>
        <v>1.0799999999999983</v>
      </c>
      <c r="AE46" s="161">
        <f t="shared" si="2"/>
        <v>-1.3020480130204959E-2</v>
      </c>
    </row>
    <row r="47" spans="1:31" x14ac:dyDescent="0.25">
      <c r="B47" s="192">
        <v>42426</v>
      </c>
      <c r="C47" s="281">
        <v>70</v>
      </c>
      <c r="D47" s="337">
        <v>95.18</v>
      </c>
      <c r="E47" s="337">
        <v>88.03</v>
      </c>
      <c r="F47" s="40">
        <f t="shared" si="4"/>
        <v>-500.5000000000004</v>
      </c>
      <c r="G47" s="40">
        <f t="shared" si="5"/>
        <v>6662.6</v>
      </c>
      <c r="H47" s="231">
        <f t="shared" si="6"/>
        <v>-7.5120823702458553E-2</v>
      </c>
      <c r="I47" s="351"/>
      <c r="O47" s="82">
        <v>1.06</v>
      </c>
      <c r="P47" s="82">
        <f t="shared" si="7"/>
        <v>72.281400000000005</v>
      </c>
      <c r="Q47" s="2"/>
      <c r="T47" s="92" t="s">
        <v>102</v>
      </c>
      <c r="U47" s="87">
        <v>81.099999999999994</v>
      </c>
      <c r="W47" s="132">
        <v>42731</v>
      </c>
      <c r="X47" s="10">
        <v>73.52</v>
      </c>
      <c r="Y47" s="10">
        <v>74.8</v>
      </c>
      <c r="Z47" s="10">
        <v>73.510000000000005</v>
      </c>
      <c r="AA47" s="10">
        <v>73.73</v>
      </c>
      <c r="AB47" s="94">
        <v>6625700</v>
      </c>
      <c r="AC47" s="10">
        <v>73.73</v>
      </c>
      <c r="AD47" s="40">
        <f t="shared" si="1"/>
        <v>1.289999999999992</v>
      </c>
      <c r="AE47" s="161">
        <f t="shared" si="2"/>
        <v>1.2221618685497315E-3</v>
      </c>
    </row>
    <row r="48" spans="1:31" x14ac:dyDescent="0.25">
      <c r="B48" s="192">
        <v>42430</v>
      </c>
      <c r="C48" s="281">
        <v>70</v>
      </c>
      <c r="D48" s="337">
        <v>95.18</v>
      </c>
      <c r="E48" s="337">
        <v>89.69</v>
      </c>
      <c r="F48" s="40">
        <f t="shared" si="4"/>
        <v>-384.30000000000064</v>
      </c>
      <c r="G48" s="40">
        <f t="shared" si="5"/>
        <v>6662.6</v>
      </c>
      <c r="H48" s="231">
        <f t="shared" si="6"/>
        <v>-5.7680184912796896E-2</v>
      </c>
      <c r="I48" s="351"/>
      <c r="O48" s="82">
        <v>1.05</v>
      </c>
      <c r="P48" s="82">
        <f t="shared" si="7"/>
        <v>71.599500000000006</v>
      </c>
      <c r="Q48" s="2"/>
      <c r="T48" s="92" t="s">
        <v>103</v>
      </c>
      <c r="U48" s="87">
        <v>0.98420300000000005</v>
      </c>
      <c r="W48" s="132">
        <v>42727</v>
      </c>
      <c r="X48" s="10">
        <v>73.3</v>
      </c>
      <c r="Y48" s="10">
        <v>73.89</v>
      </c>
      <c r="Z48" s="10">
        <v>73.22</v>
      </c>
      <c r="AA48" s="10">
        <v>73.64</v>
      </c>
      <c r="AB48" s="94">
        <v>5304700</v>
      </c>
      <c r="AC48" s="10">
        <v>73.64</v>
      </c>
      <c r="AD48" s="40">
        <f t="shared" si="1"/>
        <v>0.67000000000000171</v>
      </c>
      <c r="AE48" s="161">
        <f t="shared" si="2"/>
        <v>4.6384720327421469E-3</v>
      </c>
    </row>
    <row r="49" spans="2:31" x14ac:dyDescent="0.25">
      <c r="B49" s="192">
        <v>42431</v>
      </c>
      <c r="C49" s="281">
        <v>70</v>
      </c>
      <c r="D49" s="337">
        <v>95.18</v>
      </c>
      <c r="E49" s="337">
        <v>88.8</v>
      </c>
      <c r="F49" s="40">
        <f t="shared" si="4"/>
        <v>-446.6000000000007</v>
      </c>
      <c r="G49" s="40">
        <f t="shared" si="5"/>
        <v>6662.6</v>
      </c>
      <c r="H49" s="231">
        <f t="shared" si="6"/>
        <v>-6.7030888842193839E-2</v>
      </c>
      <c r="I49" s="351"/>
      <c r="O49" s="82">
        <v>1.04</v>
      </c>
      <c r="P49" s="82">
        <f t="shared" si="7"/>
        <v>70.917599999999993</v>
      </c>
      <c r="Q49" s="2"/>
      <c r="T49" s="92" t="s">
        <v>122</v>
      </c>
      <c r="U49" s="87" t="s">
        <v>417</v>
      </c>
      <c r="W49" s="132">
        <v>42726</v>
      </c>
      <c r="X49" s="10">
        <v>73.680000000000007</v>
      </c>
      <c r="Y49" s="10">
        <v>73.75</v>
      </c>
      <c r="Z49" s="10">
        <v>72.92</v>
      </c>
      <c r="AA49" s="10">
        <v>73.3</v>
      </c>
      <c r="AB49" s="94">
        <v>8413800</v>
      </c>
      <c r="AC49" s="10">
        <v>73.3</v>
      </c>
      <c r="AD49" s="40">
        <f t="shared" si="1"/>
        <v>0.82999999999999829</v>
      </c>
      <c r="AE49" s="161">
        <f t="shared" si="2"/>
        <v>-8.9237425635477763E-3</v>
      </c>
    </row>
    <row r="50" spans="2:31" x14ac:dyDescent="0.25">
      <c r="B50" s="192">
        <v>42445</v>
      </c>
      <c r="C50" s="281">
        <v>70</v>
      </c>
      <c r="D50" s="337">
        <v>95.176000000000002</v>
      </c>
      <c r="E50" s="337">
        <v>90.28</v>
      </c>
      <c r="F50" s="40">
        <f>C50*(E50-D50)</f>
        <v>-342.72</v>
      </c>
      <c r="G50" s="40">
        <f t="shared" ref="G50:G67" si="8">D50*C50</f>
        <v>6662.32</v>
      </c>
      <c r="H50" s="231">
        <f t="shared" ref="H50:H67" si="9">(E50-D50)/D50</f>
        <v>-5.1441539884004378E-2</v>
      </c>
      <c r="I50" s="351"/>
      <c r="O50" s="82">
        <v>1.03</v>
      </c>
      <c r="P50" s="82">
        <f t="shared" si="7"/>
        <v>70.235699999999994</v>
      </c>
      <c r="Q50" s="2"/>
      <c r="T50" s="92"/>
      <c r="U50" s="87"/>
      <c r="W50" s="132">
        <v>42725</v>
      </c>
      <c r="X50" s="10">
        <v>74.03</v>
      </c>
      <c r="Y50" s="10">
        <v>74.83</v>
      </c>
      <c r="Z50" s="10">
        <v>73.56</v>
      </c>
      <c r="AA50" s="10">
        <v>73.959999999999994</v>
      </c>
      <c r="AB50" s="94">
        <v>7018700</v>
      </c>
      <c r="AC50" s="10">
        <v>73.959999999999994</v>
      </c>
      <c r="AD50" s="40">
        <f t="shared" si="1"/>
        <v>1.269999999999996</v>
      </c>
      <c r="AE50" s="161">
        <f t="shared" si="2"/>
        <v>-1.2153950033761962E-3</v>
      </c>
    </row>
    <row r="51" spans="2:31" x14ac:dyDescent="0.25">
      <c r="B51" s="192">
        <v>42447</v>
      </c>
      <c r="C51" s="281">
        <v>50</v>
      </c>
      <c r="D51" s="337">
        <v>97.010999999999996</v>
      </c>
      <c r="E51" s="337">
        <v>90.59</v>
      </c>
      <c r="F51" s="40">
        <f>C51*(E51-D51)</f>
        <v>-321.04999999999961</v>
      </c>
      <c r="G51" s="40">
        <f t="shared" si="8"/>
        <v>4850.55</v>
      </c>
      <c r="H51" s="231">
        <f t="shared" si="9"/>
        <v>-6.6188370390986517E-2</v>
      </c>
      <c r="I51" s="351"/>
      <c r="O51" s="82">
        <v>1.02</v>
      </c>
      <c r="P51" s="82">
        <f t="shared" si="7"/>
        <v>69.553799999999995</v>
      </c>
      <c r="Q51" s="2"/>
      <c r="T51" s="92" t="s">
        <v>105</v>
      </c>
      <c r="U51" s="87" t="s">
        <v>722</v>
      </c>
      <c r="W51" s="132">
        <v>42724</v>
      </c>
      <c r="X51" s="10">
        <v>74.510000000000005</v>
      </c>
      <c r="Y51" s="10">
        <v>74.63</v>
      </c>
      <c r="Z51" s="10">
        <v>73.430000000000007</v>
      </c>
      <c r="AA51" s="10">
        <v>74.05</v>
      </c>
      <c r="AB51" s="94">
        <v>8452000</v>
      </c>
      <c r="AC51" s="10">
        <v>74.05</v>
      </c>
      <c r="AD51" s="40">
        <f t="shared" si="1"/>
        <v>1.1999999999999886</v>
      </c>
      <c r="AE51" s="161">
        <f t="shared" si="2"/>
        <v>-4.7043010752689796E-3</v>
      </c>
    </row>
    <row r="52" spans="2:31" x14ac:dyDescent="0.25">
      <c r="B52" s="192">
        <v>42452</v>
      </c>
      <c r="C52" s="281">
        <v>50</v>
      </c>
      <c r="D52" s="337">
        <v>97.010999999999996</v>
      </c>
      <c r="E52" s="337">
        <v>93.72</v>
      </c>
      <c r="F52" s="40">
        <f>C52*(E52-D52)</f>
        <v>-164.54999999999984</v>
      </c>
      <c r="G52" s="40">
        <f t="shared" si="8"/>
        <v>4850.55</v>
      </c>
      <c r="H52" s="231">
        <f t="shared" si="9"/>
        <v>-3.3923988001360636E-2</v>
      </c>
      <c r="I52" s="351"/>
      <c r="O52" s="82">
        <v>1.01</v>
      </c>
      <c r="P52" s="82">
        <f t="shared" si="7"/>
        <v>68.871899999999997</v>
      </c>
      <c r="Q52" s="2"/>
      <c r="T52" s="92" t="s">
        <v>106</v>
      </c>
      <c r="U52" s="87" t="s">
        <v>468</v>
      </c>
      <c r="W52" s="132">
        <v>42723</v>
      </c>
      <c r="X52" s="10">
        <v>73.61</v>
      </c>
      <c r="Y52" s="10">
        <v>75.3</v>
      </c>
      <c r="Z52" s="10">
        <v>73.55</v>
      </c>
      <c r="AA52" s="10">
        <v>74.400000000000006</v>
      </c>
      <c r="AB52" s="94">
        <v>8212200</v>
      </c>
      <c r="AC52" s="10">
        <v>74.400000000000006</v>
      </c>
      <c r="AD52" s="40">
        <f t="shared" si="1"/>
        <v>1.75</v>
      </c>
      <c r="AE52" s="161">
        <f t="shared" si="2"/>
        <v>4.0485829959515662E-3</v>
      </c>
    </row>
    <row r="53" spans="2:31" x14ac:dyDescent="0.25">
      <c r="B53" s="192">
        <v>42459</v>
      </c>
      <c r="C53" s="281">
        <v>50</v>
      </c>
      <c r="D53" s="337">
        <v>96.409000000000006</v>
      </c>
      <c r="E53" s="337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1">
        <f t="shared" si="9"/>
        <v>-4.604341918285644E-2</v>
      </c>
      <c r="I53" s="351" t="s">
        <v>188</v>
      </c>
      <c r="O53" s="82">
        <v>1</v>
      </c>
      <c r="P53" s="82">
        <f t="shared" si="7"/>
        <v>68.19</v>
      </c>
      <c r="Q53" s="2"/>
      <c r="T53" s="92" t="s">
        <v>107</v>
      </c>
      <c r="U53" s="89">
        <v>6626058</v>
      </c>
      <c r="W53" s="132">
        <v>42720</v>
      </c>
      <c r="X53" s="10">
        <v>74.430000000000007</v>
      </c>
      <c r="Y53" s="10">
        <v>74.959999999999994</v>
      </c>
      <c r="Z53" s="10">
        <v>73.94</v>
      </c>
      <c r="AA53" s="10">
        <v>74.099999999999994</v>
      </c>
      <c r="AB53" s="94">
        <v>14437500</v>
      </c>
      <c r="AC53" s="10">
        <v>74.099999999999994</v>
      </c>
      <c r="AD53" s="40">
        <f t="shared" si="1"/>
        <v>1.019999999999996</v>
      </c>
      <c r="AE53" s="161">
        <f t="shared" si="2"/>
        <v>-1.9192587690271434E-2</v>
      </c>
    </row>
    <row r="54" spans="2:31" x14ac:dyDescent="0.25">
      <c r="B54" s="192">
        <v>42469</v>
      </c>
      <c r="C54" s="281">
        <v>50</v>
      </c>
      <c r="D54" s="337">
        <v>96.409000000000006</v>
      </c>
      <c r="E54" s="337">
        <v>96.09</v>
      </c>
      <c r="F54" s="40">
        <f t="shared" si="10"/>
        <v>-15.950000000000131</v>
      </c>
      <c r="G54" s="40">
        <f t="shared" si="8"/>
        <v>4820.4500000000007</v>
      </c>
      <c r="H54" s="231">
        <f t="shared" si="9"/>
        <v>-3.3088197160016449E-3</v>
      </c>
      <c r="I54" s="351"/>
      <c r="O54" s="82">
        <v>0.99</v>
      </c>
      <c r="P54" s="82">
        <f t="shared" si="7"/>
        <v>67.508099999999999</v>
      </c>
      <c r="Q54" s="2"/>
      <c r="T54" s="92" t="s">
        <v>110</v>
      </c>
      <c r="U54" s="89">
        <v>10873700</v>
      </c>
      <c r="W54" s="132">
        <v>42719</v>
      </c>
      <c r="X54" s="10">
        <v>75.8</v>
      </c>
      <c r="Y54" s="10">
        <v>75.989999999999995</v>
      </c>
      <c r="Z54" s="10">
        <v>74.91</v>
      </c>
      <c r="AA54" s="10">
        <v>75.55</v>
      </c>
      <c r="AB54" s="94">
        <v>9448800</v>
      </c>
      <c r="AC54" s="10">
        <v>75.55</v>
      </c>
      <c r="AD54" s="40">
        <f t="shared" si="1"/>
        <v>1.0799999999999983</v>
      </c>
      <c r="AE54" s="161">
        <f t="shared" si="2"/>
        <v>-2.1133271694623312E-3</v>
      </c>
    </row>
    <row r="55" spans="2:31" x14ac:dyDescent="0.25">
      <c r="B55" s="192">
        <v>42475</v>
      </c>
      <c r="C55" s="281">
        <v>50</v>
      </c>
      <c r="D55" s="337">
        <v>96.409000000000006</v>
      </c>
      <c r="E55" s="337">
        <v>98.29</v>
      </c>
      <c r="F55" s="40">
        <f t="shared" si="10"/>
        <v>94.050000000000011</v>
      </c>
      <c r="G55" s="40">
        <f t="shared" si="8"/>
        <v>4820.4500000000007</v>
      </c>
      <c r="H55" s="231">
        <f t="shared" si="9"/>
        <v>1.951062660125092E-2</v>
      </c>
      <c r="I55" s="351"/>
      <c r="O55" s="82">
        <v>0.98</v>
      </c>
      <c r="P55" s="82">
        <f t="shared" si="7"/>
        <v>66.8262</v>
      </c>
      <c r="Q55" s="2"/>
      <c r="T55" s="92" t="s">
        <v>108</v>
      </c>
      <c r="U55" s="87" t="s">
        <v>723</v>
      </c>
      <c r="W55" s="132">
        <v>42718</v>
      </c>
      <c r="X55" s="10">
        <v>74.86</v>
      </c>
      <c r="Y55" s="10">
        <v>76.319999999999993</v>
      </c>
      <c r="Z55" s="10">
        <v>74.86</v>
      </c>
      <c r="AA55" s="10">
        <v>75.709999999999994</v>
      </c>
      <c r="AB55" s="94">
        <v>11822800</v>
      </c>
      <c r="AC55" s="10">
        <v>75.709999999999994</v>
      </c>
      <c r="AD55" s="40">
        <f t="shared" si="1"/>
        <v>1.4599999999999937</v>
      </c>
      <c r="AE55" s="161">
        <f t="shared" si="2"/>
        <v>1.1624799572421018E-2</v>
      </c>
    </row>
    <row r="56" spans="2:31" x14ac:dyDescent="0.25">
      <c r="B56" s="192">
        <v>42478</v>
      </c>
      <c r="C56" s="281">
        <v>25</v>
      </c>
      <c r="D56" s="337">
        <v>93.37</v>
      </c>
      <c r="E56" s="337">
        <v>99.2</v>
      </c>
      <c r="F56" s="40">
        <f t="shared" si="10"/>
        <v>145.74999999999994</v>
      </c>
      <c r="G56" s="40">
        <f t="shared" si="8"/>
        <v>2334.25</v>
      </c>
      <c r="H56" s="231">
        <f t="shared" si="9"/>
        <v>6.2439755810217393E-2</v>
      </c>
      <c r="I56" s="351"/>
      <c r="O56" s="82">
        <v>0.97</v>
      </c>
      <c r="P56" s="82">
        <f t="shared" si="7"/>
        <v>66.144300000000001</v>
      </c>
      <c r="T56" s="92" t="s">
        <v>111</v>
      </c>
      <c r="U56" s="87">
        <v>7.12</v>
      </c>
      <c r="W56" s="132">
        <v>42717</v>
      </c>
      <c r="X56" s="10">
        <v>73.41</v>
      </c>
      <c r="Y56" s="10">
        <v>75.87</v>
      </c>
      <c r="Z56" s="10">
        <v>73.400000000000006</v>
      </c>
      <c r="AA56" s="10">
        <v>74.84</v>
      </c>
      <c r="AB56" s="94">
        <v>12693000</v>
      </c>
      <c r="AC56" s="10">
        <v>74.84</v>
      </c>
      <c r="AD56" s="40">
        <f t="shared" si="1"/>
        <v>2.4699999999999989</v>
      </c>
      <c r="AE56" s="161" t="e">
        <f t="shared" si="2"/>
        <v>#DIV/0!</v>
      </c>
    </row>
    <row r="57" spans="2:31" x14ac:dyDescent="0.25">
      <c r="B57" s="192">
        <v>42488</v>
      </c>
      <c r="C57" s="439">
        <v>50</v>
      </c>
      <c r="D57" s="443">
        <v>95.81</v>
      </c>
      <c r="E57" s="337">
        <v>97</v>
      </c>
      <c r="F57" s="40">
        <f t="shared" si="10"/>
        <v>59.499999999999886</v>
      </c>
      <c r="G57" s="40">
        <f t="shared" si="8"/>
        <v>4790.5</v>
      </c>
      <c r="H57" s="231">
        <f t="shared" si="9"/>
        <v>1.2420415405490009E-2</v>
      </c>
      <c r="I57" s="351"/>
      <c r="O57" s="82">
        <v>0.96</v>
      </c>
      <c r="P57" s="82">
        <f t="shared" si="7"/>
        <v>65.462400000000002</v>
      </c>
      <c r="T57" s="92" t="s">
        <v>112</v>
      </c>
      <c r="U57" s="87">
        <v>9.94</v>
      </c>
      <c r="W57" s="132">
        <v>42717</v>
      </c>
      <c r="X57" s="10" t="s">
        <v>224</v>
      </c>
      <c r="Y57" s="10"/>
      <c r="Z57" s="10"/>
      <c r="AA57" s="10"/>
      <c r="AB57" s="94"/>
      <c r="AC57" s="10"/>
      <c r="AD57" s="40">
        <f t="shared" si="1"/>
        <v>0</v>
      </c>
      <c r="AE57" s="161">
        <f t="shared" si="2"/>
        <v>-1</v>
      </c>
    </row>
    <row r="58" spans="2:31" x14ac:dyDescent="0.25">
      <c r="B58" s="192">
        <v>42489</v>
      </c>
      <c r="C58" s="281">
        <v>70</v>
      </c>
      <c r="D58" s="337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1">
        <f t="shared" si="9"/>
        <v>-6.4055089286661704E-2</v>
      </c>
      <c r="I58" s="351"/>
      <c r="O58" s="82">
        <v>0.95</v>
      </c>
      <c r="P58" s="82">
        <f t="shared" si="7"/>
        <v>64.780499999999989</v>
      </c>
      <c r="T58" s="92" t="s">
        <v>109</v>
      </c>
      <c r="U58" s="87" t="s">
        <v>578</v>
      </c>
      <c r="W58" s="132">
        <v>42716</v>
      </c>
      <c r="X58" s="10">
        <v>72.56</v>
      </c>
      <c r="Y58" s="10">
        <v>73.680000000000007</v>
      </c>
      <c r="Z58" s="10">
        <v>72.13</v>
      </c>
      <c r="AA58" s="10">
        <v>73.47</v>
      </c>
      <c r="AB58" s="94">
        <v>9475900</v>
      </c>
      <c r="AC58" s="10">
        <v>73</v>
      </c>
      <c r="AD58" s="40">
        <f t="shared" si="1"/>
        <v>1.5500000000000114</v>
      </c>
      <c r="AE58" s="161">
        <f t="shared" si="2"/>
        <v>1.0660390419493293E-2</v>
      </c>
    </row>
    <row r="59" spans="2:31" x14ac:dyDescent="0.25">
      <c r="B59" s="192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1">
        <f t="shared" si="9"/>
        <v>-4.9696734645508119E-2</v>
      </c>
      <c r="I59" s="351"/>
      <c r="O59" s="82">
        <v>0.94</v>
      </c>
      <c r="P59" s="82">
        <f t="shared" si="7"/>
        <v>64.09859999999999</v>
      </c>
      <c r="W59" s="132">
        <v>42713</v>
      </c>
      <c r="X59" s="10">
        <v>72.34</v>
      </c>
      <c r="Y59" s="10">
        <v>73.13</v>
      </c>
      <c r="Z59" s="10">
        <v>71.95</v>
      </c>
      <c r="AA59" s="10">
        <v>72.7</v>
      </c>
      <c r="AB59" s="94">
        <v>9936300</v>
      </c>
      <c r="AC59" s="10">
        <v>72.23</v>
      </c>
      <c r="AD59" s="40">
        <f t="shared" si="1"/>
        <v>1.1799999999999926</v>
      </c>
      <c r="AE59" s="161">
        <f t="shared" si="2"/>
        <v>9.3627724986025118E-3</v>
      </c>
    </row>
    <row r="60" spans="2:31" x14ac:dyDescent="0.25">
      <c r="B60" s="192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1">
        <f t="shared" si="9"/>
        <v>-8.7726102366870146E-2</v>
      </c>
      <c r="I60" s="351"/>
      <c r="O60" s="82">
        <v>0.93</v>
      </c>
      <c r="P60" s="82">
        <f t="shared" si="7"/>
        <v>63.416699999999999</v>
      </c>
      <c r="W60" s="132">
        <v>42712</v>
      </c>
      <c r="X60" s="10">
        <v>72.459999999999994</v>
      </c>
      <c r="Y60" s="10">
        <v>72.599999999999994</v>
      </c>
      <c r="Z60" s="10">
        <v>70.83</v>
      </c>
      <c r="AA60" s="10">
        <v>72.02</v>
      </c>
      <c r="AB60" s="94">
        <v>12333500</v>
      </c>
      <c r="AC60" s="10">
        <v>71.56</v>
      </c>
      <c r="AD60" s="40">
        <f t="shared" si="1"/>
        <v>1.769999999999996</v>
      </c>
      <c r="AE60" s="161">
        <f t="shared" si="2"/>
        <v>-1.0372009403955218E-2</v>
      </c>
    </row>
    <row r="61" spans="2:31" x14ac:dyDescent="0.25">
      <c r="B61" s="192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1">
        <f t="shared" si="9"/>
        <v>-0.10830289906596423</v>
      </c>
      <c r="I61" s="351"/>
      <c r="O61" s="82">
        <v>0.92</v>
      </c>
      <c r="P61" s="82">
        <f t="shared" si="7"/>
        <v>62.7348</v>
      </c>
      <c r="W61" s="132">
        <v>42711</v>
      </c>
      <c r="X61" s="10">
        <v>71.78</v>
      </c>
      <c r="Y61" s="10">
        <v>72.900000000000006</v>
      </c>
      <c r="Z61" s="10">
        <v>71.55</v>
      </c>
      <c r="AA61" s="10">
        <v>72.78</v>
      </c>
      <c r="AB61" s="94">
        <v>13061000</v>
      </c>
      <c r="AC61" s="10">
        <v>72.31</v>
      </c>
      <c r="AD61" s="40">
        <f t="shared" si="1"/>
        <v>1.3500000000000085</v>
      </c>
      <c r="AE61" s="161">
        <f t="shared" si="2"/>
        <v>4.1660880433271874E-3</v>
      </c>
    </row>
    <row r="62" spans="2:31" x14ac:dyDescent="0.25">
      <c r="B62" s="192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1">
        <f t="shared" si="9"/>
        <v>-7.1105365223012224E-2</v>
      </c>
      <c r="I62" s="351"/>
      <c r="O62" s="82">
        <v>0.91</v>
      </c>
      <c r="P62" s="82">
        <f t="shared" si="7"/>
        <v>62.052900000000001</v>
      </c>
      <c r="W62" s="132">
        <v>42710</v>
      </c>
      <c r="X62" s="10">
        <v>72.67</v>
      </c>
      <c r="Y62" s="10">
        <v>72.67</v>
      </c>
      <c r="Z62" s="10">
        <v>71.95</v>
      </c>
      <c r="AA62" s="10">
        <v>72.47</v>
      </c>
      <c r="AB62" s="94">
        <v>8723900</v>
      </c>
      <c r="AC62" s="10">
        <v>72.010000000000005</v>
      </c>
      <c r="AD62" s="40">
        <f t="shared" si="1"/>
        <v>0.71999999999999886</v>
      </c>
      <c r="AE62" s="161">
        <f t="shared" si="2"/>
        <v>1.5299026425590334E-3</v>
      </c>
    </row>
    <row r="63" spans="2:31" x14ac:dyDescent="0.25">
      <c r="B63" s="192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1">
        <f t="shared" si="9"/>
        <v>-5.6268381758831316E-2</v>
      </c>
      <c r="I63" s="351"/>
      <c r="O63" s="82">
        <v>0.9</v>
      </c>
      <c r="P63" s="82">
        <f t="shared" si="7"/>
        <v>61.371000000000002</v>
      </c>
      <c r="W63" s="132">
        <v>42709</v>
      </c>
      <c r="X63" s="10">
        <v>72.790000000000006</v>
      </c>
      <c r="Y63" s="10">
        <v>72.97</v>
      </c>
      <c r="Z63" s="10">
        <v>71.930000000000007</v>
      </c>
      <c r="AA63" s="10">
        <v>72.36</v>
      </c>
      <c r="AB63" s="94">
        <v>9985900</v>
      </c>
      <c r="AC63" s="10">
        <v>71.900000000000006</v>
      </c>
      <c r="AD63" s="40">
        <f t="shared" si="1"/>
        <v>1.039999999999992</v>
      </c>
      <c r="AE63" s="161">
        <f t="shared" si="2"/>
        <v>-8.3379655364079763E-4</v>
      </c>
    </row>
    <row r="64" spans="2:31" x14ac:dyDescent="0.25">
      <c r="B64" s="192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1">
        <f t="shared" si="9"/>
        <v>-9.965524671407025E-2</v>
      </c>
      <c r="I64" s="235">
        <v>88.5</v>
      </c>
      <c r="W64" s="132">
        <v>42706</v>
      </c>
      <c r="X64" s="10">
        <v>73.040000000000006</v>
      </c>
      <c r="Y64" s="10">
        <v>73.599999999999994</v>
      </c>
      <c r="Z64" s="10">
        <v>72.16</v>
      </c>
      <c r="AA64" s="10">
        <v>72.42</v>
      </c>
      <c r="AB64" s="94">
        <v>9227900</v>
      </c>
      <c r="AC64" s="10">
        <v>71.959999999999994</v>
      </c>
      <c r="AD64" s="40">
        <f t="shared" si="1"/>
        <v>1.4399999999999977</v>
      </c>
      <c r="AE64" s="161">
        <f t="shared" si="2"/>
        <v>-5.665330938234181E-3</v>
      </c>
    </row>
    <row r="65" spans="2:31" x14ac:dyDescent="0.25">
      <c r="B65" s="192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1">
        <f t="shared" si="9"/>
        <v>-0.11883214824391282</v>
      </c>
      <c r="I65" s="351"/>
      <c r="W65" s="132">
        <v>42705</v>
      </c>
      <c r="X65" s="10">
        <v>73.97</v>
      </c>
      <c r="Y65" s="10">
        <v>74.03</v>
      </c>
      <c r="Z65" s="10">
        <v>72.72</v>
      </c>
      <c r="AA65" s="10">
        <v>72.84</v>
      </c>
      <c r="AB65" s="94">
        <v>8270200</v>
      </c>
      <c r="AC65" s="10">
        <v>72.37</v>
      </c>
      <c r="AD65" s="40">
        <f t="shared" si="1"/>
        <v>1.3100000000000023</v>
      </c>
      <c r="AE65" s="161">
        <f t="shared" si="2"/>
        <v>-1.1743820838454155E-2</v>
      </c>
    </row>
    <row r="66" spans="2:31" x14ac:dyDescent="0.25">
      <c r="B66" s="192">
        <v>42545</v>
      </c>
      <c r="C66" s="444">
        <v>200</v>
      </c>
      <c r="D66" s="445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1">
        <f t="shared" si="9"/>
        <v>-7.1289254099968918E-2</v>
      </c>
      <c r="I66" s="351"/>
      <c r="W66" s="132">
        <v>42704</v>
      </c>
      <c r="X66" s="10">
        <v>75</v>
      </c>
      <c r="Y66" s="10">
        <v>75.08</v>
      </c>
      <c r="Z66" s="10">
        <v>73.59</v>
      </c>
      <c r="AA66" s="10">
        <v>73.7</v>
      </c>
      <c r="AB66" s="94">
        <v>10627300</v>
      </c>
      <c r="AC66" s="10">
        <v>73.23</v>
      </c>
      <c r="AD66" s="40">
        <f t="shared" si="1"/>
        <v>1.4899999999999949</v>
      </c>
      <c r="AE66" s="161">
        <f t="shared" si="2"/>
        <v>-1.5593493749159748E-2</v>
      </c>
    </row>
    <row r="67" spans="2:31" x14ac:dyDescent="0.25">
      <c r="B67" s="192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1">
        <f t="shared" si="9"/>
        <v>-9.6910452756587134E-2</v>
      </c>
      <c r="I67" s="351"/>
      <c r="W67" s="132">
        <v>42703</v>
      </c>
      <c r="X67" s="10">
        <v>74.69</v>
      </c>
      <c r="Y67" s="10">
        <v>75.400000000000006</v>
      </c>
      <c r="Z67" s="10">
        <v>74.290000000000006</v>
      </c>
      <c r="AA67" s="10">
        <v>74.87</v>
      </c>
      <c r="AB67" s="94">
        <v>7160700</v>
      </c>
      <c r="AC67" s="10">
        <v>74.39</v>
      </c>
      <c r="AD67" s="40">
        <f>Y67-Z67</f>
        <v>1.1099999999999994</v>
      </c>
      <c r="AE67" s="161">
        <f>AC67/AC68-1</f>
        <v>4.4558466108559625E-3</v>
      </c>
    </row>
    <row r="68" spans="2:31" x14ac:dyDescent="0.25">
      <c r="B68" s="192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1">
        <f t="shared" ref="H68:H102" si="13">(E68-D68)/D68</f>
        <v>-5.0053666024213218E-2</v>
      </c>
      <c r="I68" s="351"/>
      <c r="W68" s="132">
        <v>42702</v>
      </c>
      <c r="X68" s="10">
        <v>75.3</v>
      </c>
      <c r="Y68" s="10">
        <v>75.44</v>
      </c>
      <c r="Z68" s="10">
        <v>74.22</v>
      </c>
      <c r="AA68" s="10">
        <v>74.540000000000006</v>
      </c>
      <c r="AB68" s="94">
        <v>9338900</v>
      </c>
      <c r="AC68" s="10">
        <v>74.06</v>
      </c>
      <c r="AD68" s="40">
        <f>Y68-Z68</f>
        <v>1.2199999999999989</v>
      </c>
      <c r="AE68" s="161" t="e">
        <f>AC68/AC69-1</f>
        <v>#DIV/0!</v>
      </c>
    </row>
    <row r="69" spans="2:31" x14ac:dyDescent="0.25">
      <c r="B69" s="192">
        <v>42550</v>
      </c>
      <c r="C69" s="444">
        <v>200</v>
      </c>
      <c r="D69" s="445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1">
        <f t="shared" si="13"/>
        <v>-4.7927648519005078E-2</v>
      </c>
      <c r="I69" s="351" t="s">
        <v>188</v>
      </c>
      <c r="W69" s="132" t="s">
        <v>121</v>
      </c>
      <c r="X69" s="10"/>
      <c r="Y69" s="10"/>
      <c r="Z69" s="10"/>
      <c r="AA69" s="10"/>
      <c r="AB69" s="94"/>
      <c r="AC69" s="10"/>
      <c r="AD69" s="40">
        <f>Y69-Z69</f>
        <v>0</v>
      </c>
      <c r="AE69" s="161" t="e">
        <f>AC69/AC70-1</f>
        <v>#DIV/0!</v>
      </c>
    </row>
    <row r="70" spans="2:31" x14ac:dyDescent="0.25">
      <c r="B70" s="192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1">
        <f t="shared" si="13"/>
        <v>-4.7424476453895636E-2</v>
      </c>
      <c r="I70" s="351"/>
    </row>
    <row r="71" spans="2:31" x14ac:dyDescent="0.25">
      <c r="B71" s="192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1">
        <f t="shared" si="13"/>
        <v>-5.8312978196055902E-2</v>
      </c>
      <c r="I71" s="351"/>
    </row>
    <row r="72" spans="2:31" x14ac:dyDescent="0.25">
      <c r="B72" s="192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1">
        <f t="shared" si="13"/>
        <v>-2.8453787851575176E-2</v>
      </c>
      <c r="I72" s="351"/>
    </row>
    <row r="73" spans="2:31" x14ac:dyDescent="0.25">
      <c r="B73" s="192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1">
        <f t="shared" si="13"/>
        <v>-2.4188189230934957E-2</v>
      </c>
      <c r="I73" s="351"/>
    </row>
    <row r="74" spans="2:31" x14ac:dyDescent="0.25">
      <c r="B74" s="192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1">
        <f t="shared" si="13"/>
        <v>-4.0913825927655488E-2</v>
      </c>
      <c r="I74" s="351"/>
    </row>
    <row r="75" spans="2:31" x14ac:dyDescent="0.25">
      <c r="B75" s="192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1">
        <f t="shared" si="13"/>
        <v>-2.7219009303495148E-2</v>
      </c>
      <c r="I75" s="351"/>
    </row>
    <row r="76" spans="2:31" x14ac:dyDescent="0.25">
      <c r="B76" s="192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1">
        <f t="shared" si="13"/>
        <v>-2.0708358777255003E-2</v>
      </c>
      <c r="I76" s="351"/>
    </row>
    <row r="77" spans="2:31" x14ac:dyDescent="0.25">
      <c r="B77" s="192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1">
        <f t="shared" si="13"/>
        <v>-2.8453787851575176E-2</v>
      </c>
      <c r="I77" s="459"/>
    </row>
    <row r="78" spans="2:31" x14ac:dyDescent="0.25">
      <c r="B78" s="192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1">
        <f t="shared" si="13"/>
        <v>-6.0032687955746001E-3</v>
      </c>
      <c r="I78" s="351" t="s">
        <v>256</v>
      </c>
    </row>
    <row r="79" spans="2:31" x14ac:dyDescent="0.25">
      <c r="B79" s="192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1">
        <f t="shared" si="13"/>
        <v>-7.5587409740035388E-2</v>
      </c>
      <c r="I79" s="351"/>
    </row>
    <row r="80" spans="2:31" x14ac:dyDescent="0.25">
      <c r="B80" s="192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1">
        <f t="shared" si="13"/>
        <v>-7.6122527985454172E-2</v>
      </c>
      <c r="I80" s="351"/>
    </row>
    <row r="81" spans="2:9" x14ac:dyDescent="0.25">
      <c r="B81" s="192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1">
        <f t="shared" si="13"/>
        <v>-8.2749055719797765E-2</v>
      </c>
      <c r="I81" s="351"/>
    </row>
    <row r="82" spans="2:9" x14ac:dyDescent="0.25">
      <c r="B82" s="192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1">
        <f t="shared" si="13"/>
        <v>-7.4029940279871892E-2</v>
      </c>
      <c r="I82" s="351"/>
    </row>
    <row r="83" spans="2:9" x14ac:dyDescent="0.25">
      <c r="B83" s="192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1">
        <f t="shared" si="13"/>
        <v>-6.1823178663975693E-2</v>
      </c>
      <c r="I83" s="351"/>
    </row>
    <row r="84" spans="2:9" x14ac:dyDescent="0.25">
      <c r="B84" s="192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1">
        <f t="shared" si="13"/>
        <v>-6.3101982261831474E-2</v>
      </c>
      <c r="I84" s="351"/>
    </row>
    <row r="85" spans="2:9" x14ac:dyDescent="0.25">
      <c r="B85" s="192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1">
        <f t="shared" si="13"/>
        <v>-5.8335532488005375E-2</v>
      </c>
      <c r="I85" s="351"/>
    </row>
    <row r="86" spans="2:9" x14ac:dyDescent="0.25">
      <c r="B86" s="192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1">
        <f t="shared" si="13"/>
        <v>-5.2871553478985173E-2</v>
      </c>
      <c r="I86" s="351"/>
    </row>
    <row r="87" spans="2:9" x14ac:dyDescent="0.25">
      <c r="B87" s="192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1">
        <f t="shared" si="13"/>
        <v>-6.4148276114622621E-2</v>
      </c>
      <c r="I87" s="351"/>
    </row>
    <row r="88" spans="2:9" x14ac:dyDescent="0.25">
      <c r="B88" s="192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1">
        <f t="shared" si="13"/>
        <v>-6.9030980760981131E-2</v>
      </c>
      <c r="I88" s="351"/>
    </row>
    <row r="89" spans="2:9" x14ac:dyDescent="0.25">
      <c r="B89" s="192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1">
        <f t="shared" si="13"/>
        <v>-6.4009236704636707E-2</v>
      </c>
      <c r="I89" s="351"/>
    </row>
    <row r="90" spans="2:9" x14ac:dyDescent="0.25">
      <c r="B90" s="192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1">
        <f t="shared" si="13"/>
        <v>-8.5716431290275633E-2</v>
      </c>
      <c r="I90" s="351"/>
    </row>
    <row r="91" spans="2:9" x14ac:dyDescent="0.25">
      <c r="B91" s="192">
        <v>42614</v>
      </c>
      <c r="C91" s="444">
        <v>200</v>
      </c>
      <c r="D91" s="445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1">
        <f t="shared" si="13"/>
        <v>-7.9357000668304534E-2</v>
      </c>
      <c r="I91" s="351"/>
    </row>
    <row r="92" spans="2:9" x14ac:dyDescent="0.25">
      <c r="B92" s="192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1">
        <f t="shared" si="13"/>
        <v>-8.5659516680262685E-2</v>
      </c>
      <c r="I92" s="351"/>
    </row>
    <row r="93" spans="2:9" x14ac:dyDescent="0.25">
      <c r="B93" s="192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1">
        <f t="shared" si="13"/>
        <v>-7.3886892431510753E-2</v>
      </c>
      <c r="I93" s="351"/>
    </row>
    <row r="94" spans="2:9" x14ac:dyDescent="0.25">
      <c r="B94" s="192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1">
        <f t="shared" si="13"/>
        <v>-6.0687283425334304E-2</v>
      </c>
      <c r="I94" s="351"/>
    </row>
    <row r="95" spans="2:9" x14ac:dyDescent="0.25">
      <c r="B95" s="192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1">
        <f t="shared" si="13"/>
        <v>-2.7509887815215003E-2</v>
      </c>
      <c r="I95" s="351"/>
    </row>
    <row r="96" spans="2:9" x14ac:dyDescent="0.25">
      <c r="B96" s="192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1">
        <f t="shared" si="13"/>
        <v>-3.060168812296811E-2</v>
      </c>
      <c r="I96" s="351"/>
    </row>
    <row r="97" spans="2:9" x14ac:dyDescent="0.25">
      <c r="B97" s="192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1">
        <f t="shared" si="13"/>
        <v>-5.7595483117581198E-2</v>
      </c>
      <c r="I97" s="351" t="s">
        <v>188</v>
      </c>
    </row>
    <row r="98" spans="2:9" x14ac:dyDescent="0.25">
      <c r="B98" s="192">
        <v>42643</v>
      </c>
      <c r="C98" s="444">
        <v>200</v>
      </c>
      <c r="D98" s="445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1">
        <f t="shared" si="13"/>
        <v>-5.3853347268826658E-2</v>
      </c>
      <c r="I98" s="445">
        <v>83</v>
      </c>
    </row>
    <row r="99" spans="2:9" x14ac:dyDescent="0.25">
      <c r="B99" s="192">
        <v>42646</v>
      </c>
      <c r="C99" s="444">
        <v>200</v>
      </c>
      <c r="D99" s="445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1">
        <f t="shared" si="13"/>
        <v>-6.5719335047917327E-2</v>
      </c>
      <c r="I99" s="351"/>
    </row>
    <row r="100" spans="2:9" x14ac:dyDescent="0.25">
      <c r="B100" s="192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1">
        <f t="shared" si="13"/>
        <v>-7.1640009258018542E-2</v>
      </c>
      <c r="I100" s="351"/>
    </row>
    <row r="101" spans="2:9" x14ac:dyDescent="0.25">
      <c r="B101" s="192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1">
        <f t="shared" si="13"/>
        <v>-8.3456164500371535E-2</v>
      </c>
      <c r="I101" s="351"/>
    </row>
    <row r="102" spans="2:9" x14ac:dyDescent="0.25">
      <c r="B102" s="192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1">
        <f t="shared" si="13"/>
        <v>-0.105748498617388</v>
      </c>
      <c r="I102" s="351"/>
    </row>
    <row r="103" spans="2:9" x14ac:dyDescent="0.25">
      <c r="B103" s="192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1">
        <f t="shared" ref="H103:H110" si="16">(E103-D103)/D103</f>
        <v>-0.11671194162575665</v>
      </c>
      <c r="I103" s="351"/>
    </row>
    <row r="104" spans="2:9" x14ac:dyDescent="0.25">
      <c r="B104" s="192">
        <v>42701</v>
      </c>
      <c r="C104" s="444">
        <v>200</v>
      </c>
      <c r="D104" s="445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1">
        <f t="shared" si="16"/>
        <v>-8.5464904836949906E-2</v>
      </c>
      <c r="I104" s="552" t="s">
        <v>318</v>
      </c>
    </row>
    <row r="105" spans="2:9" x14ac:dyDescent="0.25">
      <c r="B105" s="192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1">
        <f t="shared" si="16"/>
        <v>-0.10655837071160132</v>
      </c>
      <c r="I105" s="351"/>
    </row>
    <row r="106" spans="2:9" x14ac:dyDescent="0.25">
      <c r="B106" s="192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1">
        <f t="shared" si="16"/>
        <v>-9.6905375917476722E-2</v>
      </c>
      <c r="I106" s="351"/>
    </row>
    <row r="107" spans="2:9" x14ac:dyDescent="0.25">
      <c r="B107" s="192">
        <v>42717</v>
      </c>
      <c r="C107" s="444">
        <v>200</v>
      </c>
      <c r="D107" s="445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1">
        <f t="shared" si="16"/>
        <v>-8.8716227158545574E-2</v>
      </c>
      <c r="I107" s="351"/>
    </row>
    <row r="108" spans="2:9" x14ac:dyDescent="0.25">
      <c r="B108" s="192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1">
        <f t="shared" si="16"/>
        <v>-0.11177362807953685</v>
      </c>
      <c r="I108" s="351"/>
    </row>
    <row r="109" spans="2:9" x14ac:dyDescent="0.25">
      <c r="B109" s="192">
        <v>42717</v>
      </c>
      <c r="C109" s="444">
        <v>200</v>
      </c>
      <c r="D109" s="445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1">
        <f t="shared" si="16"/>
        <v>-8.718794366032262E-2</v>
      </c>
      <c r="I109" s="552" t="s">
        <v>334</v>
      </c>
    </row>
    <row r="110" spans="2:9" x14ac:dyDescent="0.25">
      <c r="B110" s="192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1">
        <f t="shared" si="16"/>
        <v>-0.10887698472060309</v>
      </c>
      <c r="I110" s="351"/>
    </row>
    <row r="111" spans="2:9" x14ac:dyDescent="0.25">
      <c r="B111" s="192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1">
        <f t="shared" ref="H111:H123" si="19">(E111-D111)/D111</f>
        <v>-9.3751689471652688E-2</v>
      </c>
      <c r="I111" s="351" t="s">
        <v>188</v>
      </c>
    </row>
    <row r="112" spans="2:9" x14ac:dyDescent="0.25">
      <c r="B112" s="192">
        <v>42738</v>
      </c>
      <c r="C112" s="444">
        <v>200</v>
      </c>
      <c r="D112" s="445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1">
        <f t="shared" si="19"/>
        <v>-8.4741620930488121E-2</v>
      </c>
      <c r="I112" s="351"/>
    </row>
    <row r="113" spans="1:9" x14ac:dyDescent="0.25">
      <c r="B113" s="192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1">
        <f t="shared" si="19"/>
        <v>-5.7343109582938014E-2</v>
      </c>
      <c r="I113" s="351"/>
    </row>
    <row r="114" spans="1:9" x14ac:dyDescent="0.25">
      <c r="B114" s="192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1">
        <f t="shared" si="19"/>
        <v>-8.9554872923976653E-2</v>
      </c>
      <c r="I114" s="351"/>
    </row>
    <row r="115" spans="1:9" x14ac:dyDescent="0.25">
      <c r="B115" s="192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1">
        <f t="shared" si="19"/>
        <v>-9.2011061025038907E-2</v>
      </c>
      <c r="I115" s="201">
        <v>79</v>
      </c>
    </row>
    <row r="116" spans="1:9" x14ac:dyDescent="0.25">
      <c r="A116" t="s">
        <v>380</v>
      </c>
      <c r="B116" s="192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1">
        <f t="shared" si="19"/>
        <v>-8.7207015433027113E-2</v>
      </c>
      <c r="I116" s="351"/>
    </row>
    <row r="117" spans="1:9" x14ac:dyDescent="0.25">
      <c r="A117" t="s">
        <v>403</v>
      </c>
      <c r="B117" s="192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1">
        <f t="shared" si="19"/>
        <v>-9.1368251561117442E-2</v>
      </c>
      <c r="I117" s="201" t="s">
        <v>420</v>
      </c>
    </row>
    <row r="118" spans="1:9" x14ac:dyDescent="0.25">
      <c r="A118" t="s">
        <v>403</v>
      </c>
      <c r="B118" s="192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1">
        <f t="shared" si="19"/>
        <v>-9.7950705018740952E-2</v>
      </c>
      <c r="I118" s="351"/>
    </row>
    <row r="119" spans="1:9" x14ac:dyDescent="0.25">
      <c r="A119" t="s">
        <v>446</v>
      </c>
      <c r="B119" s="192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1">
        <f t="shared" si="19"/>
        <v>-8.4279455529830516E-2</v>
      </c>
      <c r="I119" s="351"/>
    </row>
    <row r="120" spans="1:9" x14ac:dyDescent="0.25">
      <c r="A120" t="s">
        <v>380</v>
      </c>
      <c r="B120" s="192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1">
        <f t="shared" si="19"/>
        <v>-5.5303438395785734E-2</v>
      </c>
      <c r="I120" s="351"/>
    </row>
    <row r="121" spans="1:9" x14ac:dyDescent="0.25">
      <c r="A121" t="s">
        <v>460</v>
      </c>
      <c r="B121" s="192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1">
        <f t="shared" si="19"/>
        <v>-0.13181769750160807</v>
      </c>
      <c r="I121" s="351"/>
    </row>
    <row r="122" spans="1:9" x14ac:dyDescent="0.25">
      <c r="A122" t="s">
        <v>486</v>
      </c>
      <c r="B122" s="192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1">
        <f t="shared" si="19"/>
        <v>-0.10641533680421057</v>
      </c>
      <c r="I122" s="351"/>
    </row>
    <row r="123" spans="1:9" x14ac:dyDescent="0.25">
      <c r="A123" t="s">
        <v>489</v>
      </c>
      <c r="B123" s="192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1">
        <f t="shared" si="19"/>
        <v>-0.11290732550454985</v>
      </c>
      <c r="I123" s="351"/>
    </row>
    <row r="124" spans="1:9" x14ac:dyDescent="0.25">
      <c r="A124" t="s">
        <v>507</v>
      </c>
      <c r="B124" s="192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1">
        <f t="shared" ref="H124" si="22">(E124-D124)/D124</f>
        <v>-0.12523511768593359</v>
      </c>
      <c r="I124" s="351"/>
    </row>
    <row r="125" spans="1:9" x14ac:dyDescent="0.25">
      <c r="A125" t="s">
        <v>446</v>
      </c>
      <c r="B125" s="192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1">
        <f t="shared" ref="H125" si="25">(E125-D125)/D125</f>
        <v>-0.11112805652991714</v>
      </c>
      <c r="I125" s="351"/>
    </row>
    <row r="126" spans="1:9" x14ac:dyDescent="0.25">
      <c r="B126" s="10"/>
      <c r="C126" s="10"/>
      <c r="D126" s="40"/>
      <c r="E126" s="40"/>
      <c r="F126" s="40"/>
      <c r="G126" s="40"/>
      <c r="H126" s="231"/>
      <c r="I126" s="351"/>
    </row>
    <row r="127" spans="1:9" x14ac:dyDescent="0.25">
      <c r="B127" s="10"/>
      <c r="C127" s="10"/>
      <c r="D127" s="40"/>
      <c r="E127" s="40"/>
      <c r="F127" s="40"/>
      <c r="G127" s="40"/>
      <c r="H127" s="231"/>
      <c r="I127" s="351"/>
    </row>
    <row r="128" spans="1:9" x14ac:dyDescent="0.25">
      <c r="B128" s="10"/>
      <c r="C128" s="10"/>
      <c r="D128" s="40"/>
      <c r="E128" s="40"/>
      <c r="F128" s="40"/>
      <c r="G128" s="40"/>
      <c r="H128" s="231"/>
      <c r="I128" s="351"/>
    </row>
    <row r="129" spans="2:9" x14ac:dyDescent="0.25">
      <c r="B129" s="10"/>
      <c r="C129" s="10"/>
      <c r="D129" s="40"/>
      <c r="E129" s="40"/>
      <c r="F129" s="40"/>
      <c r="G129" s="40"/>
      <c r="H129" s="231"/>
      <c r="I129" s="351"/>
    </row>
    <row r="130" spans="2:9" x14ac:dyDescent="0.25">
      <c r="B130" s="10"/>
      <c r="C130" s="10"/>
      <c r="D130" s="40"/>
      <c r="E130" s="40"/>
      <c r="F130" s="40"/>
      <c r="G130" s="40"/>
      <c r="H130" s="231"/>
      <c r="I130" s="351"/>
    </row>
    <row r="131" spans="2:9" x14ac:dyDescent="0.25">
      <c r="B131" s="10"/>
      <c r="C131" s="10"/>
      <c r="D131" s="40"/>
      <c r="E131" s="40"/>
      <c r="F131" s="40"/>
      <c r="G131" s="40"/>
      <c r="H131" s="231"/>
      <c r="I131" s="351"/>
    </row>
    <row r="132" spans="2:9" x14ac:dyDescent="0.25">
      <c r="B132" s="10"/>
      <c r="C132" s="10"/>
      <c r="D132" s="40"/>
      <c r="E132" s="40"/>
      <c r="F132" s="40"/>
      <c r="G132" s="40"/>
      <c r="H132" s="231"/>
      <c r="I132" s="351"/>
    </row>
    <row r="133" spans="2:9" x14ac:dyDescent="0.25">
      <c r="B133" s="10"/>
      <c r="C133" s="10"/>
      <c r="D133" s="40"/>
      <c r="E133" s="40"/>
      <c r="F133" s="40"/>
      <c r="G133" s="40"/>
      <c r="H133" s="231"/>
      <c r="I133" s="351"/>
    </row>
    <row r="134" spans="2:9" x14ac:dyDescent="0.25">
      <c r="B134" s="10"/>
      <c r="C134" s="10"/>
      <c r="D134" s="40"/>
      <c r="E134" s="40"/>
      <c r="F134" s="40"/>
      <c r="G134" s="40"/>
      <c r="H134" s="231"/>
      <c r="I134" s="351"/>
    </row>
    <row r="135" spans="2:9" x14ac:dyDescent="0.25">
      <c r="B135" s="10"/>
      <c r="C135" s="10"/>
      <c r="D135" s="40"/>
      <c r="E135" s="40"/>
      <c r="F135" s="40"/>
      <c r="G135" s="40"/>
      <c r="H135" s="231"/>
      <c r="I135" s="351"/>
    </row>
    <row r="136" spans="2:9" x14ac:dyDescent="0.25">
      <c r="B136" s="10"/>
      <c r="C136" s="10"/>
      <c r="D136" s="40"/>
      <c r="E136" s="40"/>
      <c r="F136" s="40"/>
      <c r="G136" s="40"/>
      <c r="H136" s="231"/>
      <c r="I136" s="351"/>
    </row>
  </sheetData>
  <mergeCells count="1">
    <mergeCell ref="O42:P42"/>
  </mergeCells>
  <conditionalFormatting sqref="F50:F51 H50:I51 H52 H53:I63 H64 H65:I97 H98 H99:I103 H104 H105:I108 H109 F55:F123 H110:I123 H126:I136 F126:F136 I124:I125">
    <cfRule type="expression" dxfId="87" priority="30">
      <formula>F50&gt;0</formula>
    </cfRule>
    <cfRule type="expression" dxfId="86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5" priority="23">
      <formula>F47&gt;0</formula>
    </cfRule>
    <cfRule type="expression" dxfId="84" priority="24">
      <formula>F47&lt;0</formula>
    </cfRule>
  </conditionalFormatting>
  <conditionalFormatting sqref="H47:I47">
    <cfRule type="expression" dxfId="83" priority="19">
      <formula>H47&gt;0</formula>
    </cfRule>
    <cfRule type="expression" dxfId="82" priority="20">
      <formula>H47&lt;0</formula>
    </cfRule>
  </conditionalFormatting>
  <conditionalFormatting sqref="H48:I48">
    <cfRule type="expression" dxfId="81" priority="17">
      <formula>H48&gt;0</formula>
    </cfRule>
    <cfRule type="expression" dxfId="80" priority="18">
      <formula>H48&lt;0</formula>
    </cfRule>
  </conditionalFormatting>
  <conditionalFormatting sqref="H49:I49">
    <cfRule type="expression" dxfId="79" priority="15">
      <formula>H49&gt;0</formula>
    </cfRule>
    <cfRule type="expression" dxfId="78" priority="16">
      <formula>H49&lt;0</formula>
    </cfRule>
  </conditionalFormatting>
  <conditionalFormatting sqref="F40:F46">
    <cfRule type="expression" dxfId="77" priority="13">
      <formula>F40&gt;0</formula>
    </cfRule>
    <cfRule type="expression" dxfId="76" priority="14">
      <formula>F40&lt;0</formula>
    </cfRule>
  </conditionalFormatting>
  <conditionalFormatting sqref="H40:I46">
    <cfRule type="expression" dxfId="75" priority="11">
      <formula>H40&gt;0</formula>
    </cfRule>
    <cfRule type="expression" dxfId="74" priority="12">
      <formula>H40&lt;0</formula>
    </cfRule>
  </conditionalFormatting>
  <conditionalFormatting sqref="I52 F52:F54">
    <cfRule type="expression" dxfId="73" priority="9">
      <formula>F52&gt;0</formula>
    </cfRule>
    <cfRule type="expression" dxfId="72" priority="10">
      <formula>F52&lt;0</formula>
    </cfRule>
  </conditionalFormatting>
  <conditionalFormatting sqref="Q8">
    <cfRule type="expression" dxfId="71" priority="5">
      <formula>Q8&gt;0</formula>
    </cfRule>
    <cfRule type="expression" dxfId="70" priority="6">
      <formula>Q8&lt;0</formula>
    </cfRule>
  </conditionalFormatting>
  <conditionalFormatting sqref="Q7">
    <cfRule type="expression" dxfId="69" priority="7">
      <formula>Q7&gt;0</formula>
    </cfRule>
    <cfRule type="expression" dxfId="68" priority="8">
      <formula>Q7&lt;0</formula>
    </cfRule>
  </conditionalFormatting>
  <conditionalFormatting sqref="F124:F125 H124:H125">
    <cfRule type="expression" dxfId="67" priority="1">
      <formula>F124&gt;0</formula>
    </cfRule>
    <cfRule type="expression" dxfId="66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42797</v>
      </c>
      <c r="X2" s="10">
        <v>70.8</v>
      </c>
      <c r="Y2" s="10">
        <v>71.44</v>
      </c>
      <c r="Z2" s="10">
        <v>70.150000000000006</v>
      </c>
      <c r="AA2" s="10">
        <v>70.39</v>
      </c>
      <c r="AB2" s="94">
        <v>355600</v>
      </c>
      <c r="AC2" s="10">
        <v>70.39</v>
      </c>
      <c r="AD2" s="2">
        <f>Y2-Z2</f>
        <v>1.289999999999992</v>
      </c>
      <c r="AE2" s="137">
        <f>AC2/AC3-1</f>
        <v>-5.9313656263240144E-3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68.09</v>
      </c>
      <c r="W3" s="132">
        <v>42796</v>
      </c>
      <c r="X3" s="10">
        <v>72</v>
      </c>
      <c r="Y3" s="10">
        <v>72.08</v>
      </c>
      <c r="Z3" s="10">
        <v>70.709999999999994</v>
      </c>
      <c r="AA3" s="10">
        <v>70.81</v>
      </c>
      <c r="AB3" s="94">
        <v>183000</v>
      </c>
      <c r="AC3" s="10">
        <v>70.81</v>
      </c>
      <c r="AD3" s="2">
        <f t="shared" ref="AD3:AD66" si="0">Y3-Z3</f>
        <v>1.3700000000000045</v>
      </c>
      <c r="AE3" s="137">
        <f t="shared" ref="AE3:AE66" si="1">AC3/AC4-1</f>
        <v>-1.5981100611450638E-2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68.09</v>
      </c>
      <c r="R4" s="499">
        <v>-5.3E-3</v>
      </c>
      <c r="W4" s="132">
        <v>42795</v>
      </c>
      <c r="X4" s="10">
        <v>71.28</v>
      </c>
      <c r="Y4" s="10">
        <v>72.28</v>
      </c>
      <c r="Z4" s="10">
        <v>71.28</v>
      </c>
      <c r="AA4" s="10">
        <v>71.959999999999994</v>
      </c>
      <c r="AB4" s="94">
        <v>372700</v>
      </c>
      <c r="AC4" s="10">
        <v>71.959999999999994</v>
      </c>
      <c r="AD4" s="2">
        <f t="shared" si="0"/>
        <v>1</v>
      </c>
      <c r="AE4" s="137">
        <f t="shared" si="1"/>
        <v>2.1433640880056615E-2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42794</v>
      </c>
      <c r="X5" s="10">
        <v>72</v>
      </c>
      <c r="Y5" s="10">
        <v>72.069999999999993</v>
      </c>
      <c r="Z5" s="10">
        <v>70.42</v>
      </c>
      <c r="AA5" s="10">
        <v>70.45</v>
      </c>
      <c r="AB5" s="94">
        <v>289400</v>
      </c>
      <c r="AC5" s="10">
        <v>70.45</v>
      </c>
      <c r="AD5" s="2">
        <f t="shared" si="0"/>
        <v>1.6499999999999915</v>
      </c>
      <c r="AE5" s="137">
        <f t="shared" si="1"/>
        <v>-1.9621486223211804E-2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42793</v>
      </c>
      <c r="X6" s="10">
        <v>70.2</v>
      </c>
      <c r="Y6" s="10">
        <v>71.97</v>
      </c>
      <c r="Z6" s="10">
        <v>70.069999999999993</v>
      </c>
      <c r="AA6" s="10">
        <v>71.86</v>
      </c>
      <c r="AB6" s="94">
        <v>606900</v>
      </c>
      <c r="AC6" s="10">
        <v>71.86</v>
      </c>
      <c r="AD6" s="2">
        <f t="shared" si="0"/>
        <v>1.9000000000000057</v>
      </c>
      <c r="AE6" s="137">
        <f t="shared" si="1"/>
        <v>2.5253245826794002E-2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42790</v>
      </c>
      <c r="X7" s="10">
        <v>69.5</v>
      </c>
      <c r="Y7" s="10">
        <v>70.099999999999994</v>
      </c>
      <c r="Z7" s="10">
        <v>69.41</v>
      </c>
      <c r="AA7" s="10">
        <v>70.09</v>
      </c>
      <c r="AB7" s="94">
        <v>239900</v>
      </c>
      <c r="AC7" s="10">
        <v>70.09</v>
      </c>
      <c r="AD7" s="2">
        <f t="shared" si="0"/>
        <v>0.68999999999999773</v>
      </c>
      <c r="AE7" s="137">
        <f t="shared" si="1"/>
        <v>9.9971436732371188E-4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71.25</v>
      </c>
      <c r="Y8" s="10">
        <v>71.25</v>
      </c>
      <c r="Z8" s="10">
        <v>69.62</v>
      </c>
      <c r="AA8" s="10">
        <v>70.02</v>
      </c>
      <c r="AB8" s="94">
        <v>165700</v>
      </c>
      <c r="AC8" s="10">
        <v>70.02</v>
      </c>
      <c r="AD8" s="2">
        <f t="shared" si="0"/>
        <v>1.6299999999999955</v>
      </c>
      <c r="AE8" s="137">
        <f t="shared" si="1"/>
        <v>-1.3802816901408499E-2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71.08</v>
      </c>
      <c r="Y9" s="10">
        <v>71.23</v>
      </c>
      <c r="Z9" s="10">
        <v>70.66</v>
      </c>
      <c r="AA9" s="10">
        <v>71</v>
      </c>
      <c r="AB9" s="94">
        <v>196500</v>
      </c>
      <c r="AC9" s="10">
        <v>71</v>
      </c>
      <c r="AD9" s="2">
        <f t="shared" si="0"/>
        <v>0.57000000000000739</v>
      </c>
      <c r="AE9" s="137">
        <f t="shared" si="1"/>
        <v>-2.668914173338921E-3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42787</v>
      </c>
      <c r="X10" s="10">
        <v>70.64</v>
      </c>
      <c r="Y10" s="10">
        <v>71.27</v>
      </c>
      <c r="Z10" s="10">
        <v>70.3</v>
      </c>
      <c r="AA10" s="10">
        <v>71.19</v>
      </c>
      <c r="AB10" s="94">
        <v>249600</v>
      </c>
      <c r="AC10" s="10">
        <v>71.19</v>
      </c>
      <c r="AD10" s="2">
        <f t="shared" si="0"/>
        <v>0.96999999999999886</v>
      </c>
      <c r="AE10" s="137">
        <f t="shared" si="1"/>
        <v>1.1508951406649759E-2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7.1000000000000004E-3</v>
      </c>
      <c r="W11" s="132">
        <v>42783</v>
      </c>
      <c r="X11" s="10">
        <v>70.069999999999993</v>
      </c>
      <c r="Y11" s="10">
        <v>70.400000000000006</v>
      </c>
      <c r="Z11" s="10">
        <v>69.739999999999995</v>
      </c>
      <c r="AA11" s="10">
        <v>70.38</v>
      </c>
      <c r="AB11" s="94">
        <v>181700</v>
      </c>
      <c r="AC11" s="10">
        <v>70.38</v>
      </c>
      <c r="AD11" s="2">
        <f t="shared" si="0"/>
        <v>0.6600000000000108</v>
      </c>
      <c r="AE11" s="137">
        <f t="shared" si="1"/>
        <v>2.421307506053294E-3</v>
      </c>
    </row>
    <row r="12" spans="1:31" x14ac:dyDescent="0.25">
      <c r="W12" s="132">
        <v>42782</v>
      </c>
      <c r="X12" s="10">
        <v>70.63</v>
      </c>
      <c r="Y12" s="10">
        <v>70.69</v>
      </c>
      <c r="Z12" s="10">
        <v>69.790000000000006</v>
      </c>
      <c r="AA12" s="10">
        <v>70.209999999999994</v>
      </c>
      <c r="AB12" s="94">
        <v>103000</v>
      </c>
      <c r="AC12" s="10">
        <v>70.209999999999994</v>
      </c>
      <c r="AD12" s="2">
        <f t="shared" si="0"/>
        <v>0.89999999999999147</v>
      </c>
      <c r="AE12" s="137">
        <f t="shared" si="1"/>
        <v>-2.5571814178151353E-3</v>
      </c>
    </row>
    <row r="13" spans="1:31" x14ac:dyDescent="0.25">
      <c r="W13" s="132">
        <v>42781</v>
      </c>
      <c r="X13" s="10">
        <v>69.64</v>
      </c>
      <c r="Y13" s="10">
        <v>70.569999999999993</v>
      </c>
      <c r="Z13" s="10">
        <v>69.64</v>
      </c>
      <c r="AA13" s="10">
        <v>70.39</v>
      </c>
      <c r="AB13" s="94">
        <v>105100</v>
      </c>
      <c r="AC13" s="10">
        <v>70.39</v>
      </c>
      <c r="AD13" s="2">
        <f t="shared" si="0"/>
        <v>0.92999999999999261</v>
      </c>
      <c r="AE13" s="137" t="e">
        <f t="shared" si="1"/>
        <v>#DIV/0!</v>
      </c>
    </row>
    <row r="14" spans="1:31" x14ac:dyDescent="0.25">
      <c r="W14" s="132">
        <v>42781</v>
      </c>
      <c r="X14" s="10" t="s">
        <v>498</v>
      </c>
      <c r="Y14" s="10"/>
      <c r="Z14" s="10"/>
      <c r="AA14" s="10"/>
      <c r="AB14" s="94"/>
      <c r="AC14" s="10"/>
      <c r="AD14" s="2">
        <f t="shared" si="0"/>
        <v>0</v>
      </c>
      <c r="AE14" s="137">
        <f t="shared" si="1"/>
        <v>-1</v>
      </c>
    </row>
    <row r="15" spans="1:31" x14ac:dyDescent="0.25">
      <c r="W15" s="132">
        <v>42780</v>
      </c>
      <c r="X15" s="10">
        <v>69.72</v>
      </c>
      <c r="Y15" s="10">
        <v>70.11</v>
      </c>
      <c r="Z15" s="10">
        <v>69.5</v>
      </c>
      <c r="AA15" s="10">
        <v>70.06</v>
      </c>
      <c r="AB15" s="94">
        <v>204100</v>
      </c>
      <c r="AC15" s="10">
        <v>69.930000000000007</v>
      </c>
      <c r="AD15" s="2">
        <f t="shared" si="0"/>
        <v>0.60999999999999943</v>
      </c>
      <c r="AE15" s="137">
        <f t="shared" si="1"/>
        <v>1.4302059496573705E-4</v>
      </c>
    </row>
    <row r="16" spans="1:31" x14ac:dyDescent="0.25">
      <c r="W16" s="132">
        <v>42779</v>
      </c>
      <c r="X16" s="10">
        <v>70.45</v>
      </c>
      <c r="Y16" s="10">
        <v>70.75</v>
      </c>
      <c r="Z16" s="10">
        <v>69.959999999999994</v>
      </c>
      <c r="AA16" s="10">
        <v>70.040000000000006</v>
      </c>
      <c r="AB16" s="94">
        <v>185900</v>
      </c>
      <c r="AC16" s="10">
        <v>69.92</v>
      </c>
      <c r="AD16" s="2">
        <f t="shared" si="0"/>
        <v>0.79000000000000625</v>
      </c>
      <c r="AE16" s="137">
        <f t="shared" si="1"/>
        <v>-2.7100271002710175E-3</v>
      </c>
    </row>
    <row r="17" spans="1:31" x14ac:dyDescent="0.25">
      <c r="W17" s="132">
        <v>42776</v>
      </c>
      <c r="X17" s="10">
        <v>70.709999999999994</v>
      </c>
      <c r="Y17" s="10">
        <v>70.83</v>
      </c>
      <c r="Z17" s="10">
        <v>69.84</v>
      </c>
      <c r="AA17" s="10">
        <v>70.239999999999995</v>
      </c>
      <c r="AB17" s="94">
        <v>274400</v>
      </c>
      <c r="AC17" s="10">
        <v>70.11</v>
      </c>
      <c r="AD17" s="2">
        <f t="shared" si="0"/>
        <v>0.98999999999999488</v>
      </c>
      <c r="AE17" s="137">
        <f t="shared" si="1"/>
        <v>-2.1349274124680129E-3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42775</v>
      </c>
      <c r="X18" s="10">
        <v>70.7</v>
      </c>
      <c r="Y18" s="10">
        <v>70.739999999999995</v>
      </c>
      <c r="Z18" s="10">
        <v>69.25</v>
      </c>
      <c r="AA18" s="10">
        <v>70.39</v>
      </c>
      <c r="AB18" s="94">
        <v>231200</v>
      </c>
      <c r="AC18" s="10">
        <v>70.260000000000005</v>
      </c>
      <c r="AD18" s="2">
        <f t="shared" si="0"/>
        <v>1.4899999999999949</v>
      </c>
      <c r="AE18" s="137">
        <f t="shared" si="1"/>
        <v>1.4145496535796775E-2</v>
      </c>
    </row>
    <row r="19" spans="1:31" x14ac:dyDescent="0.25">
      <c r="W19" s="132">
        <v>42774</v>
      </c>
      <c r="X19" s="10">
        <v>69.56</v>
      </c>
      <c r="Y19" s="10">
        <v>69.819999999999993</v>
      </c>
      <c r="Z19" s="10">
        <v>69.05</v>
      </c>
      <c r="AA19" s="10">
        <v>69.400000000000006</v>
      </c>
      <c r="AB19" s="94">
        <v>215300</v>
      </c>
      <c r="AC19" s="10">
        <v>69.28</v>
      </c>
      <c r="AD19" s="2">
        <f t="shared" si="0"/>
        <v>0.76999999999999602</v>
      </c>
      <c r="AE19" s="137">
        <f t="shared" si="1"/>
        <v>-4.7406981755494515E-3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W20" s="132">
        <v>42773</v>
      </c>
      <c r="X20" s="10">
        <v>70.25</v>
      </c>
      <c r="Y20" s="10">
        <v>70.69</v>
      </c>
      <c r="Z20" s="10">
        <v>69.540000000000006</v>
      </c>
      <c r="AA20" s="10">
        <v>69.73</v>
      </c>
      <c r="AB20" s="94">
        <v>227600</v>
      </c>
      <c r="AC20" s="10">
        <v>69.61</v>
      </c>
      <c r="AD20" s="2">
        <f t="shared" si="0"/>
        <v>1.1499999999999915</v>
      </c>
      <c r="AE20" s="137">
        <f t="shared" si="1"/>
        <v>-4.0062956073830813E-3</v>
      </c>
    </row>
    <row r="21" spans="1:31" x14ac:dyDescent="0.25">
      <c r="B21" s="192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42772</v>
      </c>
      <c r="X21" s="10">
        <v>70.05</v>
      </c>
      <c r="Y21" s="10">
        <v>70.27</v>
      </c>
      <c r="Z21" s="10">
        <v>69.56</v>
      </c>
      <c r="AA21" s="10">
        <v>70.010000000000005</v>
      </c>
      <c r="AB21" s="94">
        <v>162900</v>
      </c>
      <c r="AC21" s="10">
        <v>69.89</v>
      </c>
      <c r="AD21" s="2">
        <f t="shared" si="0"/>
        <v>0.70999999999999375</v>
      </c>
      <c r="AE21" s="137">
        <f t="shared" si="1"/>
        <v>-4.4159544159544373E-3</v>
      </c>
    </row>
    <row r="22" spans="1:31" x14ac:dyDescent="0.25">
      <c r="B22" s="192">
        <v>42310</v>
      </c>
      <c r="C22" s="10">
        <v>0</v>
      </c>
      <c r="D22" s="201" t="s">
        <v>129</v>
      </c>
      <c r="E22" s="40">
        <v>46.15</v>
      </c>
      <c r="F22" s="40">
        <v>33.94</v>
      </c>
      <c r="W22" s="132">
        <v>42769</v>
      </c>
      <c r="X22" s="10">
        <v>69.94</v>
      </c>
      <c r="Y22" s="10">
        <v>70.430000000000007</v>
      </c>
      <c r="Z22" s="10">
        <v>69.55</v>
      </c>
      <c r="AA22" s="10">
        <v>70.33</v>
      </c>
      <c r="AB22" s="94">
        <v>211500</v>
      </c>
      <c r="AC22" s="10">
        <v>70.2</v>
      </c>
      <c r="AD22" s="2">
        <f t="shared" si="0"/>
        <v>0.88000000000000966</v>
      </c>
      <c r="AE22" s="137">
        <f t="shared" si="1"/>
        <v>1.6949152542372836E-2</v>
      </c>
    </row>
    <row r="23" spans="1:31" x14ac:dyDescent="0.25">
      <c r="B23" s="10"/>
      <c r="C23" s="10"/>
      <c r="D23" s="40"/>
      <c r="E23" s="40"/>
      <c r="F23" s="40"/>
      <c r="W23" s="132">
        <v>42768</v>
      </c>
      <c r="X23" s="10">
        <v>68.75</v>
      </c>
      <c r="Y23" s="10">
        <v>69.37</v>
      </c>
      <c r="Z23" s="10">
        <v>68.260000000000005</v>
      </c>
      <c r="AA23" s="10">
        <v>69.150000000000006</v>
      </c>
      <c r="AB23" s="94">
        <v>323200</v>
      </c>
      <c r="AC23" s="10">
        <v>69.03</v>
      </c>
      <c r="AD23" s="2">
        <f t="shared" si="0"/>
        <v>1.1099999999999994</v>
      </c>
      <c r="AE23" s="137">
        <f t="shared" si="1"/>
        <v>-5.188067444876765E-3</v>
      </c>
    </row>
    <row r="24" spans="1:31" x14ac:dyDescent="0.25">
      <c r="B24" s="10"/>
      <c r="C24" s="10"/>
      <c r="D24" s="40"/>
      <c r="E24" s="40"/>
      <c r="F24" s="40"/>
      <c r="W24" s="132">
        <v>42767</v>
      </c>
      <c r="X24" s="10">
        <v>69.959999999999994</v>
      </c>
      <c r="Y24" s="10">
        <v>70.31</v>
      </c>
      <c r="Z24" s="10">
        <v>69.02</v>
      </c>
      <c r="AA24" s="10">
        <v>69.510000000000005</v>
      </c>
      <c r="AB24" s="94">
        <v>276700</v>
      </c>
      <c r="AC24" s="10">
        <v>69.39</v>
      </c>
      <c r="AD24" s="2">
        <f t="shared" si="0"/>
        <v>1.2900000000000063</v>
      </c>
      <c r="AE24" s="137">
        <f t="shared" si="1"/>
        <v>-1.8699654775603536E-3</v>
      </c>
    </row>
    <row r="25" spans="1:31" x14ac:dyDescent="0.25">
      <c r="B25" s="10"/>
      <c r="C25" s="10"/>
      <c r="D25" s="40"/>
      <c r="E25" s="40"/>
      <c r="F25" s="40"/>
      <c r="W25" s="132">
        <v>42766</v>
      </c>
      <c r="X25" s="10">
        <v>69.680000000000007</v>
      </c>
      <c r="Y25" s="10">
        <v>70.39</v>
      </c>
      <c r="Z25" s="10">
        <v>68.7</v>
      </c>
      <c r="AA25" s="10">
        <v>69.64</v>
      </c>
      <c r="AB25" s="94">
        <v>373500</v>
      </c>
      <c r="AC25" s="10">
        <v>69.52</v>
      </c>
      <c r="AD25" s="2">
        <f t="shared" si="0"/>
        <v>1.6899999999999977</v>
      </c>
      <c r="AE25" s="137">
        <f t="shared" si="1"/>
        <v>-5.5786010585038293E-3</v>
      </c>
    </row>
    <row r="26" spans="1:31" x14ac:dyDescent="0.25">
      <c r="B26" s="10"/>
      <c r="C26" s="10"/>
      <c r="D26" s="40"/>
      <c r="E26" s="40"/>
      <c r="F26" s="40"/>
      <c r="W26" s="132">
        <v>42765</v>
      </c>
      <c r="X26" s="10">
        <v>69.34</v>
      </c>
      <c r="Y26" s="10">
        <v>70.37</v>
      </c>
      <c r="Z26" s="10">
        <v>68.2</v>
      </c>
      <c r="AA26" s="10">
        <v>70.03</v>
      </c>
      <c r="AB26" s="94">
        <v>478000</v>
      </c>
      <c r="AC26" s="10">
        <v>69.91</v>
      </c>
      <c r="AD26" s="2">
        <f t="shared" si="0"/>
        <v>2.1700000000000017</v>
      </c>
      <c r="AE26" s="137">
        <f t="shared" si="1"/>
        <v>4.2930738408708535E-4</v>
      </c>
    </row>
    <row r="27" spans="1:31" x14ac:dyDescent="0.25">
      <c r="B27" s="10"/>
      <c r="C27" s="10"/>
      <c r="D27" s="40"/>
      <c r="E27" s="40"/>
      <c r="F27" s="40"/>
      <c r="W27" s="132">
        <v>42762</v>
      </c>
      <c r="X27" s="10">
        <v>70.14</v>
      </c>
      <c r="Y27" s="10">
        <v>70.89</v>
      </c>
      <c r="Z27" s="10">
        <v>69.900000000000006</v>
      </c>
      <c r="AA27" s="10">
        <v>70</v>
      </c>
      <c r="AB27" s="94">
        <v>218400</v>
      </c>
      <c r="AC27" s="10">
        <v>69.88</v>
      </c>
      <c r="AD27" s="2">
        <f t="shared" si="0"/>
        <v>0.98999999999999488</v>
      </c>
      <c r="AE27" s="137">
        <f t="shared" si="1"/>
        <v>-3.1383737517831634E-3</v>
      </c>
    </row>
    <row r="28" spans="1:31" x14ac:dyDescent="0.25">
      <c r="B28" s="10"/>
      <c r="C28" s="10"/>
      <c r="D28" s="40"/>
      <c r="E28" s="40"/>
      <c r="F28" s="40"/>
      <c r="W28" s="132">
        <v>42761</v>
      </c>
      <c r="X28" s="10">
        <v>69.44</v>
      </c>
      <c r="Y28" s="10">
        <v>70.260000000000005</v>
      </c>
      <c r="Z28" s="10">
        <v>69.150000000000006</v>
      </c>
      <c r="AA28" s="10">
        <v>70.23</v>
      </c>
      <c r="AB28" s="94">
        <v>410700</v>
      </c>
      <c r="AC28" s="10">
        <v>70.099999999999994</v>
      </c>
      <c r="AD28" s="2">
        <f t="shared" si="0"/>
        <v>1.1099999999999994</v>
      </c>
      <c r="AE28" s="137">
        <f t="shared" si="1"/>
        <v>1.1252163877668808E-2</v>
      </c>
    </row>
    <row r="29" spans="1:31" x14ac:dyDescent="0.25">
      <c r="B29" s="10"/>
      <c r="C29" s="10"/>
      <c r="D29" s="40"/>
      <c r="E29" s="40"/>
      <c r="F29" s="40"/>
      <c r="W29" s="132">
        <v>42760</v>
      </c>
      <c r="X29" s="10">
        <v>69.7</v>
      </c>
      <c r="Y29" s="10">
        <v>69.7</v>
      </c>
      <c r="Z29" s="10">
        <v>69</v>
      </c>
      <c r="AA29" s="10">
        <v>69.44</v>
      </c>
      <c r="AB29" s="94">
        <v>361500</v>
      </c>
      <c r="AC29" s="10">
        <v>69.319999999999993</v>
      </c>
      <c r="AD29" s="2">
        <f t="shared" si="0"/>
        <v>0.70000000000000284</v>
      </c>
      <c r="AE29" s="137">
        <f t="shared" si="1"/>
        <v>7.21813194745069E-4</v>
      </c>
    </row>
    <row r="30" spans="1:31" x14ac:dyDescent="0.25">
      <c r="B30" s="10"/>
      <c r="C30" s="10"/>
      <c r="D30" s="40"/>
      <c r="E30" s="40"/>
      <c r="F30" s="40"/>
      <c r="W30" s="132">
        <v>42759</v>
      </c>
      <c r="X30" s="10">
        <v>68</v>
      </c>
      <c r="Y30" s="10">
        <v>70.38</v>
      </c>
      <c r="Z30" s="10">
        <v>66.930000000000007</v>
      </c>
      <c r="AA30" s="10">
        <v>69.39</v>
      </c>
      <c r="AB30" s="94">
        <v>1062900</v>
      </c>
      <c r="AC30" s="10">
        <v>69.27</v>
      </c>
      <c r="AD30" s="2">
        <f t="shared" si="0"/>
        <v>3.4499999999999886</v>
      </c>
      <c r="AE30" s="137">
        <f t="shared" si="1"/>
        <v>5.4658952496954738E-2</v>
      </c>
    </row>
    <row r="31" spans="1:31" x14ac:dyDescent="0.25">
      <c r="W31" s="132">
        <v>42758</v>
      </c>
      <c r="X31" s="10">
        <v>67.33</v>
      </c>
      <c r="Y31" s="10">
        <v>67.98</v>
      </c>
      <c r="Z31" s="10">
        <v>65.75</v>
      </c>
      <c r="AA31" s="10">
        <v>65.8</v>
      </c>
      <c r="AB31" s="94">
        <v>329000</v>
      </c>
      <c r="AC31" s="10">
        <v>65.680000000000007</v>
      </c>
      <c r="AD31" s="2">
        <f t="shared" si="0"/>
        <v>2.230000000000004</v>
      </c>
      <c r="AE31" s="137">
        <f t="shared" si="1"/>
        <v>-2.6674570243034879E-2</v>
      </c>
    </row>
    <row r="32" spans="1:31" x14ac:dyDescent="0.25">
      <c r="W32" s="132">
        <v>42755</v>
      </c>
      <c r="X32" s="10">
        <v>67.510000000000005</v>
      </c>
      <c r="Y32" s="10">
        <v>67.989999999999995</v>
      </c>
      <c r="Z32" s="10">
        <v>67.2</v>
      </c>
      <c r="AA32" s="10">
        <v>67.599999999999994</v>
      </c>
      <c r="AB32" s="94">
        <v>209800</v>
      </c>
      <c r="AC32" s="10">
        <v>67.48</v>
      </c>
      <c r="AD32" s="2">
        <f t="shared" si="0"/>
        <v>0.78999999999999204</v>
      </c>
      <c r="AE32" s="137">
        <f t="shared" si="1"/>
        <v>2.0790020790020236E-3</v>
      </c>
    </row>
    <row r="33" spans="1:31" x14ac:dyDescent="0.25">
      <c r="L33" t="s">
        <v>212</v>
      </c>
      <c r="M33" s="2">
        <f>M51+K51-F51</f>
        <v>33.940000000000055</v>
      </c>
      <c r="W33" s="132">
        <v>42754</v>
      </c>
      <c r="X33" s="10">
        <v>68.45</v>
      </c>
      <c r="Y33" s="10">
        <v>68.819999999999993</v>
      </c>
      <c r="Z33" s="10">
        <v>66.91</v>
      </c>
      <c r="AA33" s="10">
        <v>67.459999999999994</v>
      </c>
      <c r="AB33" s="94">
        <v>282800</v>
      </c>
      <c r="AC33" s="10">
        <v>67.34</v>
      </c>
      <c r="AD33" s="2">
        <f t="shared" si="0"/>
        <v>1.9099999999999966</v>
      </c>
      <c r="AE33" s="137">
        <f t="shared" si="1"/>
        <v>-1.4344262295081789E-2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32">
        <v>42753</v>
      </c>
      <c r="X34" s="10">
        <v>68.19</v>
      </c>
      <c r="Y34" s="10">
        <v>68.55</v>
      </c>
      <c r="Z34" s="10">
        <v>67.77</v>
      </c>
      <c r="AA34" s="10">
        <v>68.44</v>
      </c>
      <c r="AB34" s="94">
        <v>187200</v>
      </c>
      <c r="AC34" s="10">
        <v>68.319999999999993</v>
      </c>
      <c r="AD34" s="2">
        <f t="shared" si="0"/>
        <v>0.78000000000000114</v>
      </c>
      <c r="AE34" s="137">
        <f t="shared" si="1"/>
        <v>7.6696165191740828E-3</v>
      </c>
    </row>
    <row r="35" spans="1:31" x14ac:dyDescent="0.25">
      <c r="A35" s="387" t="s">
        <v>53</v>
      </c>
      <c r="B35" s="377">
        <v>42214</v>
      </c>
      <c r="C35" s="378">
        <v>15</v>
      </c>
      <c r="D35" s="379">
        <v>47.8</v>
      </c>
      <c r="E35" s="379">
        <v>0</v>
      </c>
      <c r="F35" s="379">
        <f>C35*D35</f>
        <v>717</v>
      </c>
      <c r="G35" s="377">
        <v>42313</v>
      </c>
      <c r="H35" s="379">
        <v>70</v>
      </c>
      <c r="I35" s="379">
        <v>46.15</v>
      </c>
      <c r="J35" s="379">
        <v>0.06</v>
      </c>
      <c r="K35" s="378">
        <f>I35*H35-J35</f>
        <v>3230.44</v>
      </c>
      <c r="L35" s="377">
        <v>42247</v>
      </c>
      <c r="M35" s="379">
        <v>3.5</v>
      </c>
      <c r="W35" s="132">
        <v>42752</v>
      </c>
      <c r="X35" s="10">
        <v>69.319999999999993</v>
      </c>
      <c r="Y35" s="10">
        <v>69.319999999999993</v>
      </c>
      <c r="Z35" s="10">
        <v>67.819999999999993</v>
      </c>
      <c r="AA35" s="10">
        <v>67.92</v>
      </c>
      <c r="AB35" s="94">
        <v>187400</v>
      </c>
      <c r="AC35" s="10">
        <v>67.8</v>
      </c>
      <c r="AD35" s="2">
        <f t="shared" si="0"/>
        <v>1.5</v>
      </c>
      <c r="AE35" s="137">
        <f t="shared" si="1"/>
        <v>-2.389864670313846E-2</v>
      </c>
    </row>
    <row r="36" spans="1:31" x14ac:dyDescent="0.25">
      <c r="A36" s="388" t="s">
        <v>71</v>
      </c>
      <c r="B36" s="377">
        <v>42233</v>
      </c>
      <c r="C36" s="378">
        <v>20</v>
      </c>
      <c r="D36" s="379">
        <v>47.5</v>
      </c>
      <c r="E36" s="379">
        <v>0</v>
      </c>
      <c r="F36" s="379">
        <f>C36*D36</f>
        <v>950</v>
      </c>
      <c r="G36" s="378"/>
      <c r="H36" s="378"/>
      <c r="I36" s="378"/>
      <c r="J36" s="378"/>
      <c r="K36" s="378"/>
      <c r="L36" s="377">
        <v>42338</v>
      </c>
      <c r="M36" s="378"/>
      <c r="W36" s="132">
        <v>42748</v>
      </c>
      <c r="X36" s="10">
        <v>69.010000000000005</v>
      </c>
      <c r="Y36" s="10">
        <v>69.78</v>
      </c>
      <c r="Z36" s="10">
        <v>69.010000000000005</v>
      </c>
      <c r="AA36" s="10">
        <v>69.58</v>
      </c>
      <c r="AB36" s="94">
        <v>173700</v>
      </c>
      <c r="AC36" s="10">
        <v>69.459999999999994</v>
      </c>
      <c r="AD36" s="2">
        <f t="shared" si="0"/>
        <v>0.76999999999999602</v>
      </c>
      <c r="AE36" s="137">
        <f t="shared" si="1"/>
        <v>1.253644314868807E-2</v>
      </c>
    </row>
    <row r="37" spans="1:31" x14ac:dyDescent="0.25">
      <c r="A37" s="378"/>
      <c r="B37" s="377">
        <v>42269</v>
      </c>
      <c r="C37" s="378">
        <v>35</v>
      </c>
      <c r="D37" s="379">
        <v>43.8</v>
      </c>
      <c r="E37" s="379">
        <v>0</v>
      </c>
      <c r="F37" s="379">
        <f>C37*D37</f>
        <v>1533</v>
      </c>
      <c r="G37" s="378"/>
      <c r="H37" s="378"/>
      <c r="I37" s="378"/>
      <c r="J37" s="378"/>
      <c r="K37" s="378"/>
      <c r="L37" s="378"/>
      <c r="M37" s="378"/>
      <c r="W37" s="132">
        <v>42747</v>
      </c>
      <c r="X37" s="10">
        <v>69.48</v>
      </c>
      <c r="Y37" s="10">
        <v>69.48</v>
      </c>
      <c r="Z37" s="10">
        <v>67.27</v>
      </c>
      <c r="AA37" s="10">
        <v>68.72</v>
      </c>
      <c r="AB37" s="94">
        <v>189500</v>
      </c>
      <c r="AC37" s="10">
        <v>68.599999999999994</v>
      </c>
      <c r="AD37" s="2">
        <f t="shared" si="0"/>
        <v>2.210000000000008</v>
      </c>
      <c r="AE37" s="137">
        <f t="shared" si="1"/>
        <v>-1.3517400057521001E-2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42746</v>
      </c>
      <c r="X38" s="10">
        <v>69.05</v>
      </c>
      <c r="Y38" s="10">
        <v>69.77</v>
      </c>
      <c r="Z38" s="10">
        <v>68.97</v>
      </c>
      <c r="AA38" s="10">
        <v>69.66</v>
      </c>
      <c r="AB38" s="94">
        <v>165400</v>
      </c>
      <c r="AC38" s="10">
        <v>69.540000000000006</v>
      </c>
      <c r="AD38" s="2">
        <f t="shared" si="0"/>
        <v>0.79999999999999716</v>
      </c>
      <c r="AE38" s="137">
        <f t="shared" si="1"/>
        <v>7.2421784472769257E-3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42745</v>
      </c>
      <c r="X39" s="10">
        <v>68.099999999999994</v>
      </c>
      <c r="Y39" s="10">
        <v>69.349999999999994</v>
      </c>
      <c r="Z39" s="10">
        <v>67.69</v>
      </c>
      <c r="AA39" s="10">
        <v>69.16</v>
      </c>
      <c r="AB39" s="94">
        <v>256800</v>
      </c>
      <c r="AC39" s="10">
        <v>69.040000000000006</v>
      </c>
      <c r="AD39" s="2">
        <f t="shared" si="0"/>
        <v>1.6599999999999966</v>
      </c>
      <c r="AE39" s="137">
        <f t="shared" si="1"/>
        <v>1.4548126377663673E-2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42744</v>
      </c>
      <c r="X40" s="10">
        <v>69.19</v>
      </c>
      <c r="Y40" s="10">
        <v>69.19</v>
      </c>
      <c r="Z40" s="10">
        <v>67.91</v>
      </c>
      <c r="AA40" s="10">
        <v>68.17</v>
      </c>
      <c r="AB40" s="94">
        <v>272600</v>
      </c>
      <c r="AC40" s="10">
        <v>68.05</v>
      </c>
      <c r="AD40" s="2">
        <f t="shared" si="0"/>
        <v>1.2800000000000011</v>
      </c>
      <c r="AE40" s="137">
        <f t="shared" si="1"/>
        <v>-1.4767627045026765E-2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34"/>
      <c r="W41" s="132">
        <v>42741</v>
      </c>
      <c r="X41" s="10">
        <v>68.989999999999995</v>
      </c>
      <c r="Y41" s="10">
        <v>69.48</v>
      </c>
      <c r="Z41" s="10">
        <v>68.569999999999993</v>
      </c>
      <c r="AA41" s="10">
        <v>69.19</v>
      </c>
      <c r="AB41" s="94">
        <v>236800</v>
      </c>
      <c r="AC41" s="10">
        <v>69.069999999999993</v>
      </c>
      <c r="AD41" s="2">
        <f t="shared" si="0"/>
        <v>0.9100000000000108</v>
      </c>
      <c r="AE41" s="137">
        <f t="shared" si="1"/>
        <v>-1.4475969889993223E-4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703" t="s">
        <v>78</v>
      </c>
      <c r="P42" s="703"/>
      <c r="Q42" s="34"/>
      <c r="T42" s="90" t="s">
        <v>113</v>
      </c>
      <c r="W42" s="132">
        <v>42740</v>
      </c>
      <c r="X42" s="10">
        <v>69.95</v>
      </c>
      <c r="Y42" s="10">
        <v>70.36</v>
      </c>
      <c r="Z42" s="10">
        <v>68.33</v>
      </c>
      <c r="AA42" s="10">
        <v>69.2</v>
      </c>
      <c r="AB42" s="94">
        <v>267200</v>
      </c>
      <c r="AC42" s="10">
        <v>69.08</v>
      </c>
      <c r="AD42" s="2">
        <f t="shared" si="0"/>
        <v>2.0300000000000011</v>
      </c>
      <c r="AE42" s="137">
        <f t="shared" si="1"/>
        <v>-1.3988010276905549E-2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74.899000000000015</v>
      </c>
      <c r="Q43" s="34"/>
      <c r="T43" s="127" t="s">
        <v>98</v>
      </c>
      <c r="U43" s="97">
        <v>70.81</v>
      </c>
      <c r="W43" s="132">
        <v>42739</v>
      </c>
      <c r="X43" s="10">
        <v>69.760000000000005</v>
      </c>
      <c r="Y43" s="10">
        <v>70.5</v>
      </c>
      <c r="Z43" s="10">
        <v>69.72</v>
      </c>
      <c r="AA43" s="10">
        <v>70.19</v>
      </c>
      <c r="AB43" s="94">
        <v>317500</v>
      </c>
      <c r="AC43" s="10">
        <v>70.06</v>
      </c>
      <c r="AD43" s="2">
        <f t="shared" si="0"/>
        <v>0.78000000000000114</v>
      </c>
      <c r="AE43" s="137">
        <f t="shared" si="1"/>
        <v>1.0237923576063457E-2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2">O44*$Q$4</f>
        <v>74.218100000000007</v>
      </c>
      <c r="Q44" s="34"/>
      <c r="T44" s="92" t="s">
        <v>99</v>
      </c>
      <c r="U44" s="87">
        <v>70.8</v>
      </c>
      <c r="W44" s="132">
        <v>42738</v>
      </c>
      <c r="X44" s="10">
        <v>69.83</v>
      </c>
      <c r="Y44" s="10">
        <v>70.3</v>
      </c>
      <c r="Z44" s="10">
        <v>68.81</v>
      </c>
      <c r="AA44" s="10">
        <v>69.47</v>
      </c>
      <c r="AB44" s="94">
        <v>212000</v>
      </c>
      <c r="AC44" s="10">
        <v>69.349999999999994</v>
      </c>
      <c r="AD44" s="2">
        <f t="shared" si="0"/>
        <v>1.4899999999999949</v>
      </c>
      <c r="AE44" s="137">
        <f t="shared" si="1"/>
        <v>6.0931379660522644E-3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2"/>
        <v>73.537200000000013</v>
      </c>
      <c r="Q45" s="34"/>
      <c r="T45" s="92" t="s">
        <v>100</v>
      </c>
      <c r="U45" s="87" t="s">
        <v>129</v>
      </c>
      <c r="W45" s="132">
        <v>42734</v>
      </c>
      <c r="X45" s="10">
        <v>69.39</v>
      </c>
      <c r="Y45" s="10">
        <v>69.45</v>
      </c>
      <c r="Z45" s="10">
        <v>68.790000000000006</v>
      </c>
      <c r="AA45" s="10">
        <v>69.05</v>
      </c>
      <c r="AB45" s="94">
        <v>164100</v>
      </c>
      <c r="AC45" s="10">
        <v>68.930000000000007</v>
      </c>
      <c r="AD45" s="2">
        <f t="shared" si="0"/>
        <v>0.65999999999999659</v>
      </c>
      <c r="AE45" s="137">
        <f t="shared" si="1"/>
        <v>-2.6045434814063739E-3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2"/>
        <v>72.856300000000005</v>
      </c>
      <c r="Q46" s="82"/>
      <c r="T46" s="92" t="s">
        <v>101</v>
      </c>
      <c r="U46" s="87" t="s">
        <v>129</v>
      </c>
      <c r="W46" s="132">
        <v>42733</v>
      </c>
      <c r="X46" s="10">
        <v>69.319999999999993</v>
      </c>
      <c r="Y46" s="10">
        <v>69.62</v>
      </c>
      <c r="Z46" s="10">
        <v>68.67</v>
      </c>
      <c r="AA46" s="10">
        <v>69.23</v>
      </c>
      <c r="AB46" s="94">
        <v>170200</v>
      </c>
      <c r="AC46" s="10">
        <v>69.11</v>
      </c>
      <c r="AD46" s="2">
        <f t="shared" si="0"/>
        <v>0.95000000000000284</v>
      </c>
      <c r="AE46" s="137">
        <f t="shared" si="1"/>
        <v>7.24008108890839E-4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2"/>
        <v>72.17540000000001</v>
      </c>
      <c r="Q47" s="82"/>
      <c r="T47" s="92" t="s">
        <v>102</v>
      </c>
      <c r="U47" s="87">
        <v>70.2</v>
      </c>
      <c r="W47" s="132">
        <v>42732</v>
      </c>
      <c r="X47" s="10">
        <v>70.22</v>
      </c>
      <c r="Y47" s="10">
        <v>70.22</v>
      </c>
      <c r="Z47" s="10">
        <v>68.989999999999995</v>
      </c>
      <c r="AA47" s="10">
        <v>69.180000000000007</v>
      </c>
      <c r="AB47" s="94">
        <v>160600</v>
      </c>
      <c r="AC47" s="10">
        <v>69.06</v>
      </c>
      <c r="AD47" s="2">
        <f t="shared" si="0"/>
        <v>1.230000000000004</v>
      </c>
      <c r="AE47" s="137">
        <f t="shared" si="1"/>
        <v>-1.51169423844838E-2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2"/>
        <v>71.494500000000002</v>
      </c>
      <c r="Q48" s="82"/>
      <c r="T48" s="92" t="s">
        <v>103</v>
      </c>
      <c r="U48" s="87">
        <v>1.4081300000000001</v>
      </c>
      <c r="W48" s="132">
        <v>42731</v>
      </c>
      <c r="X48" s="10">
        <v>70.38</v>
      </c>
      <c r="Y48" s="10">
        <v>70.63</v>
      </c>
      <c r="Z48" s="10">
        <v>70.040000000000006</v>
      </c>
      <c r="AA48" s="10">
        <v>70.25</v>
      </c>
      <c r="AB48" s="94">
        <v>119700</v>
      </c>
      <c r="AC48" s="10">
        <v>70.12</v>
      </c>
      <c r="AD48" s="2">
        <f t="shared" si="0"/>
        <v>0.5899999999999892</v>
      </c>
      <c r="AE48" s="137">
        <f t="shared" si="1"/>
        <v>-1.9925989183035009E-3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2"/>
        <v>70.813600000000008</v>
      </c>
      <c r="Q49" s="82"/>
      <c r="T49" s="92" t="s">
        <v>122</v>
      </c>
      <c r="U49" s="87" t="s">
        <v>401</v>
      </c>
      <c r="W49" s="132">
        <v>42727</v>
      </c>
      <c r="X49" s="10">
        <v>70.2</v>
      </c>
      <c r="Y49" s="10">
        <v>70.94</v>
      </c>
      <c r="Z49" s="10">
        <v>69.900000000000006</v>
      </c>
      <c r="AA49" s="10">
        <v>70.39</v>
      </c>
      <c r="AB49" s="94">
        <v>117100</v>
      </c>
      <c r="AC49" s="10">
        <v>70.260000000000005</v>
      </c>
      <c r="AD49" s="2">
        <f t="shared" si="0"/>
        <v>1.039999999999992</v>
      </c>
      <c r="AE49" s="137">
        <f t="shared" si="1"/>
        <v>3.2843067256891345E-3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2"/>
        <v>70.1327</v>
      </c>
      <c r="Q50" s="82"/>
      <c r="T50" s="92"/>
      <c r="U50" s="87"/>
      <c r="W50" s="132">
        <v>42726</v>
      </c>
      <c r="X50" s="10">
        <v>70.09</v>
      </c>
      <c r="Y50" s="10">
        <v>70.41</v>
      </c>
      <c r="Z50" s="10">
        <v>69.39</v>
      </c>
      <c r="AA50" s="10">
        <v>70.16</v>
      </c>
      <c r="AB50" s="94">
        <v>200500</v>
      </c>
      <c r="AC50" s="10">
        <v>70.03</v>
      </c>
      <c r="AD50" s="2">
        <f t="shared" si="0"/>
        <v>1.019999999999996</v>
      </c>
      <c r="AE50" s="137">
        <f t="shared" si="1"/>
        <v>1.1436740528949496E-3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69.451800000000006</v>
      </c>
      <c r="Q51" s="82"/>
      <c r="T51" s="92" t="s">
        <v>105</v>
      </c>
      <c r="U51" s="87" t="s">
        <v>724</v>
      </c>
      <c r="W51" s="132">
        <v>42725</v>
      </c>
      <c r="X51" s="10">
        <v>70.650000000000006</v>
      </c>
      <c r="Y51" s="10">
        <v>70.930000000000007</v>
      </c>
      <c r="Z51" s="10">
        <v>69.94</v>
      </c>
      <c r="AA51" s="10">
        <v>70.08</v>
      </c>
      <c r="AB51" s="94">
        <v>246600</v>
      </c>
      <c r="AC51" s="10">
        <v>69.95</v>
      </c>
      <c r="AD51" s="2">
        <f t="shared" si="0"/>
        <v>0.99000000000000909</v>
      </c>
      <c r="AE51" s="137">
        <f t="shared" si="1"/>
        <v>-5.4030996729702574E-3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1.01</v>
      </c>
      <c r="P52" s="82">
        <f t="shared" si="2"/>
        <v>68.770899999999997</v>
      </c>
      <c r="Q52" s="82"/>
      <c r="T52" s="92" t="s">
        <v>106</v>
      </c>
      <c r="U52" s="87" t="s">
        <v>579</v>
      </c>
      <c r="W52" s="132">
        <v>42724</v>
      </c>
      <c r="X52" s="10">
        <v>70.150000000000006</v>
      </c>
      <c r="Y52" s="10">
        <v>70.739999999999995</v>
      </c>
      <c r="Z52" s="10">
        <v>69.64</v>
      </c>
      <c r="AA52" s="10">
        <v>70.459999999999994</v>
      </c>
      <c r="AB52" s="94">
        <v>197000</v>
      </c>
      <c r="AC52" s="10">
        <v>70.33</v>
      </c>
      <c r="AD52" s="2">
        <f t="shared" si="0"/>
        <v>1.0999999999999943</v>
      </c>
      <c r="AE52" s="137">
        <f t="shared" si="1"/>
        <v>6.4396107613051701E-3</v>
      </c>
    </row>
    <row r="53" spans="1:31" x14ac:dyDescent="0.25">
      <c r="O53" s="82">
        <v>1</v>
      </c>
      <c r="P53" s="82">
        <f t="shared" si="2"/>
        <v>68.09</v>
      </c>
      <c r="Q53" s="82"/>
      <c r="T53" s="92" t="s">
        <v>107</v>
      </c>
      <c r="U53" s="89">
        <v>356667</v>
      </c>
      <c r="W53" s="132">
        <v>42723</v>
      </c>
      <c r="X53" s="10">
        <v>69.790000000000006</v>
      </c>
      <c r="Y53" s="10">
        <v>70.319999999999993</v>
      </c>
      <c r="Z53" s="10">
        <v>69.25</v>
      </c>
      <c r="AA53" s="10">
        <v>70</v>
      </c>
      <c r="AB53" s="94">
        <v>257800</v>
      </c>
      <c r="AC53" s="10">
        <v>69.88</v>
      </c>
      <c r="AD53" s="2">
        <f t="shared" si="0"/>
        <v>1.0699999999999932</v>
      </c>
      <c r="AE53" s="137">
        <f t="shared" si="1"/>
        <v>7.6423936553713379E-3</v>
      </c>
    </row>
    <row r="54" spans="1:31" x14ac:dyDescent="0.25">
      <c r="O54" s="82">
        <v>0.99</v>
      </c>
      <c r="P54" s="82">
        <f t="shared" si="2"/>
        <v>67.409100000000009</v>
      </c>
      <c r="Q54" s="82"/>
      <c r="T54" s="92" t="s">
        <v>110</v>
      </c>
      <c r="U54" s="89">
        <v>279626</v>
      </c>
      <c r="W54" s="132">
        <v>42720</v>
      </c>
      <c r="X54" s="10">
        <v>70.3</v>
      </c>
      <c r="Y54" s="10">
        <v>70.900000000000006</v>
      </c>
      <c r="Z54" s="10">
        <v>69.38</v>
      </c>
      <c r="AA54" s="10">
        <v>69.47</v>
      </c>
      <c r="AB54" s="94">
        <v>890400</v>
      </c>
      <c r="AC54" s="10">
        <v>69.349999999999994</v>
      </c>
      <c r="AD54" s="2">
        <f t="shared" si="0"/>
        <v>1.5200000000000102</v>
      </c>
      <c r="AE54" s="137">
        <f t="shared" si="1"/>
        <v>-9.4272246821883732E-3</v>
      </c>
    </row>
    <row r="55" spans="1:31" x14ac:dyDescent="0.25">
      <c r="O55" s="82">
        <v>0.98</v>
      </c>
      <c r="P55" s="82">
        <f t="shared" si="2"/>
        <v>66.728200000000001</v>
      </c>
      <c r="Q55" s="82"/>
      <c r="T55" s="92" t="s">
        <v>108</v>
      </c>
      <c r="U55" s="87" t="s">
        <v>725</v>
      </c>
      <c r="W55" s="132">
        <v>42719</v>
      </c>
      <c r="X55" s="10">
        <v>69.22</v>
      </c>
      <c r="Y55" s="10">
        <v>70.37</v>
      </c>
      <c r="Z55" s="10">
        <v>68.89</v>
      </c>
      <c r="AA55" s="10">
        <v>70.14</v>
      </c>
      <c r="AB55" s="94">
        <v>264300</v>
      </c>
      <c r="AC55" s="10">
        <v>70.010000000000005</v>
      </c>
      <c r="AD55" s="2">
        <f t="shared" si="0"/>
        <v>1.480000000000004</v>
      </c>
      <c r="AE55" s="137">
        <f t="shared" si="1"/>
        <v>1.3169319826338732E-2</v>
      </c>
    </row>
    <row r="56" spans="1:31" x14ac:dyDescent="0.25">
      <c r="O56" s="82">
        <v>0.97</v>
      </c>
      <c r="P56" s="82">
        <f t="shared" si="2"/>
        <v>66.047300000000007</v>
      </c>
      <c r="Q56" s="82"/>
      <c r="T56" s="92" t="s">
        <v>111</v>
      </c>
      <c r="U56" s="87">
        <v>22.1</v>
      </c>
      <c r="W56" s="132">
        <v>42718</v>
      </c>
      <c r="X56" s="10">
        <v>70.39</v>
      </c>
      <c r="Y56" s="10">
        <v>71.08</v>
      </c>
      <c r="Z56" s="10">
        <v>69.11</v>
      </c>
      <c r="AA56" s="10">
        <v>69.22</v>
      </c>
      <c r="AB56" s="94">
        <v>331600</v>
      </c>
      <c r="AC56" s="10">
        <v>69.099999999999994</v>
      </c>
      <c r="AD56" s="2">
        <f t="shared" si="0"/>
        <v>1.9699999999999989</v>
      </c>
      <c r="AE56" s="137">
        <f t="shared" si="1"/>
        <v>-1.9997163522904704E-2</v>
      </c>
    </row>
    <row r="57" spans="1:31" x14ac:dyDescent="0.25">
      <c r="O57" s="82">
        <v>0.96</v>
      </c>
      <c r="P57" s="82">
        <f t="shared" si="2"/>
        <v>65.366399999999999</v>
      </c>
      <c r="Q57" s="82"/>
      <c r="T57" s="92" t="s">
        <v>112</v>
      </c>
      <c r="U57" s="87">
        <v>3.19</v>
      </c>
      <c r="W57" s="132">
        <v>42717</v>
      </c>
      <c r="X57" s="10">
        <v>70.239999999999995</v>
      </c>
      <c r="Y57" s="10">
        <v>71.11</v>
      </c>
      <c r="Z57" s="10">
        <v>69.95</v>
      </c>
      <c r="AA57" s="10">
        <v>70.64</v>
      </c>
      <c r="AB57" s="94">
        <v>363000</v>
      </c>
      <c r="AC57" s="10">
        <v>70.510000000000005</v>
      </c>
      <c r="AD57" s="2">
        <f t="shared" si="0"/>
        <v>1.1599999999999966</v>
      </c>
      <c r="AE57" s="137">
        <f t="shared" si="1"/>
        <v>4.98859749144831E-3</v>
      </c>
    </row>
    <row r="58" spans="1:31" x14ac:dyDescent="0.25">
      <c r="O58" s="82">
        <v>0.95</v>
      </c>
      <c r="P58" s="82">
        <f t="shared" si="2"/>
        <v>64.685500000000005</v>
      </c>
      <c r="Q58" s="82"/>
      <c r="T58" s="92" t="s">
        <v>109</v>
      </c>
      <c r="U58" s="87" t="s">
        <v>580</v>
      </c>
      <c r="W58" s="132">
        <v>42716</v>
      </c>
      <c r="X58" s="10">
        <v>69.89</v>
      </c>
      <c r="Y58" s="10">
        <v>70.58</v>
      </c>
      <c r="Z58" s="10">
        <v>69.319999999999993</v>
      </c>
      <c r="AA58" s="10">
        <v>70.290000000000006</v>
      </c>
      <c r="AB58" s="94">
        <v>351500</v>
      </c>
      <c r="AC58" s="10">
        <v>70.16</v>
      </c>
      <c r="AD58" s="2">
        <f t="shared" si="0"/>
        <v>1.2600000000000051</v>
      </c>
      <c r="AE58" s="137">
        <f t="shared" si="1"/>
        <v>3.1455533314268536E-3</v>
      </c>
    </row>
    <row r="59" spans="1:31" x14ac:dyDescent="0.25">
      <c r="O59" s="82">
        <v>0.94</v>
      </c>
      <c r="P59" s="82">
        <f t="shared" si="2"/>
        <v>64.004599999999996</v>
      </c>
      <c r="Q59" s="82"/>
      <c r="W59" s="132">
        <v>42713</v>
      </c>
      <c r="X59" s="10">
        <v>70.760000000000005</v>
      </c>
      <c r="Y59" s="10">
        <v>70.78</v>
      </c>
      <c r="Z59" s="10">
        <v>70</v>
      </c>
      <c r="AA59" s="10">
        <v>70.069999999999993</v>
      </c>
      <c r="AB59" s="94">
        <v>267900</v>
      </c>
      <c r="AC59" s="10">
        <v>69.94</v>
      </c>
      <c r="AD59" s="2">
        <f t="shared" si="0"/>
        <v>0.78000000000000114</v>
      </c>
      <c r="AE59" s="137">
        <f t="shared" si="1"/>
        <v>-1.0889548861547138E-2</v>
      </c>
    </row>
    <row r="60" spans="1:31" x14ac:dyDescent="0.25">
      <c r="O60" s="82">
        <v>0.93</v>
      </c>
      <c r="P60" s="82">
        <f t="shared" si="2"/>
        <v>63.323700000000009</v>
      </c>
      <c r="Q60" s="82"/>
      <c r="W60" s="132">
        <v>42712</v>
      </c>
      <c r="X60" s="10">
        <v>71.31</v>
      </c>
      <c r="Y60" s="10">
        <v>71.459999999999994</v>
      </c>
      <c r="Z60" s="10">
        <v>70.569999999999993</v>
      </c>
      <c r="AA60" s="10">
        <v>70.84</v>
      </c>
      <c r="AB60" s="94">
        <v>293600</v>
      </c>
      <c r="AC60" s="10">
        <v>70.709999999999994</v>
      </c>
      <c r="AD60" s="2">
        <f t="shared" si="0"/>
        <v>0.89000000000000057</v>
      </c>
      <c r="AE60" s="137">
        <f t="shared" si="1"/>
        <v>-3.6635197970974476E-3</v>
      </c>
    </row>
    <row r="61" spans="1:31" x14ac:dyDescent="0.25">
      <c r="O61" s="82">
        <v>0.92</v>
      </c>
      <c r="P61" s="82">
        <f t="shared" si="2"/>
        <v>62.642800000000008</v>
      </c>
      <c r="Q61" s="82"/>
      <c r="W61" s="132">
        <v>42711</v>
      </c>
      <c r="X61" s="10">
        <v>70</v>
      </c>
      <c r="Y61" s="10">
        <v>71.41</v>
      </c>
      <c r="Z61" s="10">
        <v>69.63</v>
      </c>
      <c r="AA61" s="10">
        <v>71.099999999999994</v>
      </c>
      <c r="AB61" s="94">
        <v>323300</v>
      </c>
      <c r="AC61" s="10">
        <v>70.97</v>
      </c>
      <c r="AD61" s="2">
        <f t="shared" si="0"/>
        <v>1.7800000000000011</v>
      </c>
      <c r="AE61" s="137">
        <f t="shared" si="1"/>
        <v>1.7928858290304106E-2</v>
      </c>
    </row>
    <row r="62" spans="1:31" x14ac:dyDescent="0.25">
      <c r="O62" s="82">
        <v>0.91</v>
      </c>
      <c r="P62" s="82">
        <f t="shared" si="2"/>
        <v>61.961900000000007</v>
      </c>
      <c r="Q62" s="82"/>
      <c r="W62" s="132">
        <v>42710</v>
      </c>
      <c r="X62" s="10">
        <v>69.05</v>
      </c>
      <c r="Y62" s="10">
        <v>69.87</v>
      </c>
      <c r="Z62" s="10">
        <v>68.7</v>
      </c>
      <c r="AA62" s="10">
        <v>69.84</v>
      </c>
      <c r="AB62" s="94">
        <v>373600</v>
      </c>
      <c r="AC62" s="10">
        <v>69.72</v>
      </c>
      <c r="AD62" s="2">
        <f t="shared" si="0"/>
        <v>1.1700000000000017</v>
      </c>
      <c r="AE62" s="137">
        <f t="shared" si="1"/>
        <v>1.2636165577342151E-2</v>
      </c>
    </row>
    <row r="63" spans="1:31" x14ac:dyDescent="0.25">
      <c r="O63" s="82">
        <v>0.9</v>
      </c>
      <c r="P63" s="82">
        <f t="shared" si="2"/>
        <v>61.281000000000006</v>
      </c>
      <c r="Q63" s="82"/>
      <c r="W63" s="132">
        <v>42709</v>
      </c>
      <c r="X63" s="10">
        <v>69.3</v>
      </c>
      <c r="Y63" s="10">
        <v>69.97</v>
      </c>
      <c r="Z63" s="10">
        <v>68.790000000000006</v>
      </c>
      <c r="AA63" s="10">
        <v>68.97</v>
      </c>
      <c r="AB63" s="94">
        <v>371800</v>
      </c>
      <c r="AC63" s="10">
        <v>68.849999999999994</v>
      </c>
      <c r="AD63" s="2">
        <f t="shared" si="0"/>
        <v>1.1799999999999926</v>
      </c>
      <c r="AE63" s="137">
        <f t="shared" si="1"/>
        <v>4.3591979075841003E-4</v>
      </c>
    </row>
    <row r="64" spans="1:31" x14ac:dyDescent="0.25">
      <c r="O64" s="34"/>
      <c r="W64" s="132">
        <v>42706</v>
      </c>
      <c r="X64" s="10">
        <v>68.33</v>
      </c>
      <c r="Y64" s="10">
        <v>69.2</v>
      </c>
      <c r="Z64" s="10">
        <v>67.92</v>
      </c>
      <c r="AA64" s="10">
        <v>68.94</v>
      </c>
      <c r="AB64" s="94">
        <v>371600</v>
      </c>
      <c r="AC64" s="10">
        <v>68.819999999999993</v>
      </c>
      <c r="AD64" s="2">
        <f t="shared" si="0"/>
        <v>1.2800000000000011</v>
      </c>
      <c r="AE64" s="137">
        <f t="shared" si="1"/>
        <v>8.0562472535521401E-3</v>
      </c>
    </row>
    <row r="65" spans="15:31" x14ac:dyDescent="0.25">
      <c r="O65" s="34"/>
      <c r="W65" s="132">
        <v>42705</v>
      </c>
      <c r="X65" s="10">
        <v>68.14</v>
      </c>
      <c r="Y65" s="10">
        <v>68.53</v>
      </c>
      <c r="Z65" s="10">
        <v>67.78</v>
      </c>
      <c r="AA65" s="10">
        <v>68.39</v>
      </c>
      <c r="AB65" s="94">
        <v>521800</v>
      </c>
      <c r="AC65" s="10">
        <v>68.27</v>
      </c>
      <c r="AD65" s="2">
        <f t="shared" si="0"/>
        <v>0.75</v>
      </c>
      <c r="AE65" s="137">
        <f t="shared" si="1"/>
        <v>9.7618695459251725E-3</v>
      </c>
    </row>
    <row r="66" spans="15:31" x14ac:dyDescent="0.25">
      <c r="O66" s="34"/>
      <c r="W66" s="132">
        <v>42704</v>
      </c>
      <c r="X66" s="10">
        <v>67.5</v>
      </c>
      <c r="Y66" s="10">
        <v>68.34</v>
      </c>
      <c r="Z66" s="10">
        <v>67.5</v>
      </c>
      <c r="AA66" s="10">
        <v>67.73</v>
      </c>
      <c r="AB66" s="94">
        <v>655600</v>
      </c>
      <c r="AC66" s="10">
        <v>67.61</v>
      </c>
      <c r="AD66" s="2">
        <f t="shared" si="0"/>
        <v>0.84000000000000341</v>
      </c>
      <c r="AE66" s="137">
        <f t="shared" si="1"/>
        <v>5.2036871840617227E-3</v>
      </c>
    </row>
    <row r="67" spans="15:31" x14ac:dyDescent="0.25">
      <c r="W67" s="132">
        <v>42703</v>
      </c>
      <c r="X67" s="10">
        <v>67.459999999999994</v>
      </c>
      <c r="Y67" s="10">
        <v>68.45</v>
      </c>
      <c r="Z67" s="10">
        <v>67.34</v>
      </c>
      <c r="AA67" s="10">
        <v>67.38</v>
      </c>
      <c r="AB67" s="94">
        <v>447400</v>
      </c>
      <c r="AC67" s="10">
        <v>67.260000000000005</v>
      </c>
      <c r="AD67" s="2">
        <f>Y67-Z67</f>
        <v>1.1099999999999994</v>
      </c>
      <c r="AE67" s="137">
        <f>AC67/AC68-1</f>
        <v>1.3398838767306742E-3</v>
      </c>
    </row>
    <row r="68" spans="15:31" x14ac:dyDescent="0.25">
      <c r="W68" s="132">
        <v>42702</v>
      </c>
      <c r="X68" s="10">
        <v>67.930000000000007</v>
      </c>
      <c r="Y68" s="10">
        <v>68.069999999999993</v>
      </c>
      <c r="Z68" s="10">
        <v>67.2</v>
      </c>
      <c r="AA68" s="10">
        <v>67.290000000000006</v>
      </c>
      <c r="AB68" s="94">
        <v>313500</v>
      </c>
      <c r="AC68" s="10">
        <v>67.17</v>
      </c>
      <c r="AD68" s="2">
        <f>Y68-Z68</f>
        <v>0.86999999999999034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4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75</v>
      </c>
      <c r="U2" s="162"/>
      <c r="X2" s="132">
        <v>42797</v>
      </c>
      <c r="Y2" s="10">
        <v>60.98</v>
      </c>
      <c r="Z2" s="10">
        <v>61</v>
      </c>
      <c r="AA2" s="10">
        <v>60.5</v>
      </c>
      <c r="AB2" s="10">
        <v>60.73</v>
      </c>
      <c r="AC2" s="94">
        <v>1891300</v>
      </c>
      <c r="AD2" s="10">
        <v>60.73</v>
      </c>
      <c r="AE2" s="2">
        <f>Z2-AA2</f>
        <v>0.5</v>
      </c>
      <c r="AF2" s="137">
        <f>AD2/AD3-1</f>
        <v>-2.9551797734361784E-3</v>
      </c>
    </row>
    <row r="3" spans="1:32" x14ac:dyDescent="0.25">
      <c r="A3" s="23" t="s">
        <v>71</v>
      </c>
      <c r="B3" s="16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9">
        <f>IF(Q2=0, Q4, (F18-K18-M18)/Q2)</f>
        <v>61.913333333333334</v>
      </c>
      <c r="X3" s="132">
        <v>42796</v>
      </c>
      <c r="Y3" s="10">
        <v>60.6</v>
      </c>
      <c r="Z3" s="10">
        <v>60.97</v>
      </c>
      <c r="AA3" s="10">
        <v>60.34</v>
      </c>
      <c r="AB3" s="10">
        <v>60.91</v>
      </c>
      <c r="AC3" s="94">
        <v>3820000</v>
      </c>
      <c r="AD3" s="10">
        <v>60.91</v>
      </c>
      <c r="AE3" s="2">
        <f t="shared" ref="AE3:AE66" si="0">Z3-AA3</f>
        <v>0.62999999999999545</v>
      </c>
      <c r="AF3" s="137">
        <f t="shared" ref="AF3:AF66" si="1">AD3/AD4-1</f>
        <v>5.9454995871179861E-3</v>
      </c>
    </row>
    <row r="4" spans="1:32" x14ac:dyDescent="0.25">
      <c r="B4" s="498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/>
      <c r="M4" s="4"/>
      <c r="O4" s="11" t="s">
        <v>66</v>
      </c>
      <c r="Q4" s="55">
        <v>60.57</v>
      </c>
      <c r="R4" s="499">
        <v>-1E-3</v>
      </c>
      <c r="X4" s="132">
        <v>42795</v>
      </c>
      <c r="Y4" s="10">
        <v>60.78</v>
      </c>
      <c r="Z4" s="10">
        <v>60.94</v>
      </c>
      <c r="AA4" s="10">
        <v>60.1</v>
      </c>
      <c r="AB4" s="10">
        <v>60.55</v>
      </c>
      <c r="AC4" s="94">
        <v>3174700</v>
      </c>
      <c r="AD4" s="10">
        <v>60.55</v>
      </c>
      <c r="AE4" s="2">
        <f t="shared" si="0"/>
        <v>0.83999999999999631</v>
      </c>
      <c r="AF4" s="137">
        <f t="shared" si="1"/>
        <v>2.9816133841311654E-3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4542.75</v>
      </c>
      <c r="X5" s="132">
        <v>42794</v>
      </c>
      <c r="Y5" s="10">
        <v>60.08</v>
      </c>
      <c r="Z5" s="10">
        <v>60.66</v>
      </c>
      <c r="AA5" s="10">
        <v>59.99</v>
      </c>
      <c r="AB5" s="10">
        <v>60.37</v>
      </c>
      <c r="AC5" s="94">
        <v>3628200</v>
      </c>
      <c r="AD5" s="10">
        <v>60.37</v>
      </c>
      <c r="AE5" s="2">
        <f t="shared" si="0"/>
        <v>0.6699999999999946</v>
      </c>
      <c r="AF5" s="137">
        <f t="shared" si="1"/>
        <v>7.1738405071737343E-3</v>
      </c>
    </row>
    <row r="6" spans="1:32" x14ac:dyDescent="0.25">
      <c r="O6" s="11" t="s">
        <v>64</v>
      </c>
      <c r="Q6" s="2">
        <f>Q3*Q2</f>
        <v>4643.5</v>
      </c>
      <c r="X6" s="132">
        <v>42793</v>
      </c>
      <c r="Y6" s="10">
        <v>61.11</v>
      </c>
      <c r="Z6" s="10">
        <v>61.11</v>
      </c>
      <c r="AA6" s="10">
        <v>59.79</v>
      </c>
      <c r="AB6" s="10">
        <v>59.94</v>
      </c>
      <c r="AC6" s="94">
        <v>3803800</v>
      </c>
      <c r="AD6" s="10">
        <v>59.94</v>
      </c>
      <c r="AE6" s="2">
        <f t="shared" si="0"/>
        <v>1.3200000000000003</v>
      </c>
      <c r="AF6" s="137">
        <f t="shared" si="1"/>
        <v>-2.3301287273912341E-2</v>
      </c>
    </row>
    <row r="7" spans="1:32" x14ac:dyDescent="0.25">
      <c r="O7" s="11" t="s">
        <v>181</v>
      </c>
      <c r="Q7" s="2">
        <f>Q10+Q8</f>
        <v>-50.800000000000182</v>
      </c>
      <c r="R7">
        <v>50</v>
      </c>
      <c r="X7" s="132">
        <v>42790</v>
      </c>
      <c r="Y7" s="10">
        <v>60.83</v>
      </c>
      <c r="Z7" s="10">
        <v>61.38</v>
      </c>
      <c r="AA7" s="10">
        <v>60.76</v>
      </c>
      <c r="AB7" s="10">
        <v>61.37</v>
      </c>
      <c r="AC7" s="94">
        <v>2586500</v>
      </c>
      <c r="AD7" s="10">
        <v>61.37</v>
      </c>
      <c r="AE7" s="2">
        <f t="shared" si="0"/>
        <v>0.62000000000000455</v>
      </c>
      <c r="AF7" s="137">
        <f t="shared" si="1"/>
        <v>9.7071405067454819E-3</v>
      </c>
    </row>
    <row r="8" spans="1:32" x14ac:dyDescent="0.25">
      <c r="O8" s="11" t="s">
        <v>183</v>
      </c>
      <c r="P8" s="34"/>
      <c r="Q8" s="2">
        <f>K18+M18-F18+Q2*Q4</f>
        <v>-100.75</v>
      </c>
      <c r="X8" s="132">
        <v>42789</v>
      </c>
      <c r="Y8" s="10">
        <v>60.89</v>
      </c>
      <c r="Z8" s="10">
        <v>60.98</v>
      </c>
      <c r="AA8" s="10">
        <v>60.46</v>
      </c>
      <c r="AB8" s="10">
        <v>60.78</v>
      </c>
      <c r="AC8" s="94">
        <v>2476300</v>
      </c>
      <c r="AD8" s="10">
        <v>60.78</v>
      </c>
      <c r="AE8" s="2">
        <f t="shared" si="0"/>
        <v>0.51999999999999602</v>
      </c>
      <c r="AF8" s="137">
        <f t="shared" si="1"/>
        <v>3.1358309952136398E-3</v>
      </c>
    </row>
    <row r="9" spans="1:32" x14ac:dyDescent="0.25">
      <c r="O9" s="11" t="s">
        <v>213</v>
      </c>
      <c r="Q9" s="137">
        <f>IF(Q2=0, 0, Q8/Q6)</f>
        <v>-2.1696995800581459E-2</v>
      </c>
      <c r="X9" s="132">
        <v>42788</v>
      </c>
      <c r="Y9" s="10">
        <v>60.75</v>
      </c>
      <c r="Z9" s="10">
        <v>60.99</v>
      </c>
      <c r="AA9" s="10">
        <v>60.24</v>
      </c>
      <c r="AB9" s="10">
        <v>60.59</v>
      </c>
      <c r="AC9" s="94">
        <v>3308200</v>
      </c>
      <c r="AD9" s="10">
        <v>60.59</v>
      </c>
      <c r="AE9" s="2">
        <f t="shared" si="0"/>
        <v>0.75</v>
      </c>
      <c r="AF9" s="137">
        <f t="shared" si="1"/>
        <v>-7.046869878728268E-3</v>
      </c>
    </row>
    <row r="10" spans="1:32" x14ac:dyDescent="0.25">
      <c r="O10" s="11" t="s">
        <v>212</v>
      </c>
      <c r="P10" s="34"/>
      <c r="Q10" s="2">
        <f>M40</f>
        <v>49.949999999999818</v>
      </c>
      <c r="X10" s="132">
        <v>42787</v>
      </c>
      <c r="Y10" s="10">
        <v>60.92</v>
      </c>
      <c r="Z10" s="10">
        <v>61.59</v>
      </c>
      <c r="AA10" s="10">
        <v>60.03</v>
      </c>
      <c r="AB10" s="10">
        <v>61.02</v>
      </c>
      <c r="AC10" s="94">
        <v>7480300</v>
      </c>
      <c r="AD10" s="10">
        <v>61.02</v>
      </c>
      <c r="AE10" s="2">
        <f t="shared" si="0"/>
        <v>1.5600000000000023</v>
      </c>
      <c r="AF10" s="137">
        <f t="shared" si="1"/>
        <v>3.0221171703528782E-2</v>
      </c>
    </row>
    <row r="11" spans="1:32" x14ac:dyDescent="0.25">
      <c r="O11" s="11" t="s">
        <v>178</v>
      </c>
      <c r="P11" s="34"/>
      <c r="Q11" s="137">
        <f>VALUE(TRIM(CLEAN(MID(U58, FIND("(", U58)+1, 5))))</f>
        <v>3.15E-2</v>
      </c>
      <c r="X11" s="132">
        <v>42783</v>
      </c>
      <c r="Y11" s="10">
        <v>58.89</v>
      </c>
      <c r="Z11" s="10">
        <v>60.18</v>
      </c>
      <c r="AA11" s="10">
        <v>58.7</v>
      </c>
      <c r="AB11" s="10">
        <v>59.23</v>
      </c>
      <c r="AC11" s="94">
        <v>11620100</v>
      </c>
      <c r="AD11" s="10">
        <v>59.23</v>
      </c>
      <c r="AE11" s="2">
        <f t="shared" si="0"/>
        <v>1.4799999999999969</v>
      </c>
      <c r="AF11" s="137">
        <f t="shared" si="1"/>
        <v>-3.7536561585960415E-2</v>
      </c>
    </row>
    <row r="12" spans="1:32" x14ac:dyDescent="0.25">
      <c r="X12" s="132">
        <v>42782</v>
      </c>
      <c r="Y12" s="10">
        <v>63.07</v>
      </c>
      <c r="Z12" s="10">
        <v>63.27</v>
      </c>
      <c r="AA12" s="10">
        <v>61.39</v>
      </c>
      <c r="AB12" s="10">
        <v>61.54</v>
      </c>
      <c r="AC12" s="94">
        <v>6019600</v>
      </c>
      <c r="AD12" s="10">
        <v>61.54</v>
      </c>
      <c r="AE12" s="2">
        <f t="shared" si="0"/>
        <v>1.8800000000000026</v>
      </c>
      <c r="AF12" s="137">
        <f t="shared" si="1"/>
        <v>-2.6111726539009283E-2</v>
      </c>
    </row>
    <row r="13" spans="1:32" x14ac:dyDescent="0.25">
      <c r="X13" s="132">
        <v>42781</v>
      </c>
      <c r="Y13" s="10">
        <v>62.68</v>
      </c>
      <c r="Z13" s="10">
        <v>63.35</v>
      </c>
      <c r="AA13" s="10">
        <v>62.01</v>
      </c>
      <c r="AB13" s="10">
        <v>63.19</v>
      </c>
      <c r="AC13" s="94">
        <v>2637900</v>
      </c>
      <c r="AD13" s="10">
        <v>63.19</v>
      </c>
      <c r="AE13" s="2">
        <f t="shared" si="0"/>
        <v>1.3400000000000034</v>
      </c>
      <c r="AF13" s="137">
        <f t="shared" si="1"/>
        <v>1.5850372483752206E-3</v>
      </c>
    </row>
    <row r="14" spans="1:32" x14ac:dyDescent="0.25">
      <c r="X14" s="132">
        <v>42780</v>
      </c>
      <c r="Y14" s="10">
        <v>62.81</v>
      </c>
      <c r="Z14" s="10">
        <v>63.73</v>
      </c>
      <c r="AA14" s="10">
        <v>62.54</v>
      </c>
      <c r="AB14" s="10">
        <v>63.09</v>
      </c>
      <c r="AC14" s="94">
        <v>3637300</v>
      </c>
      <c r="AD14" s="10">
        <v>63.09</v>
      </c>
      <c r="AE14" s="2">
        <f t="shared" si="0"/>
        <v>1.1899999999999977</v>
      </c>
      <c r="AF14" s="137">
        <f t="shared" si="1"/>
        <v>3.1801558276356445E-3</v>
      </c>
    </row>
    <row r="15" spans="1:32" x14ac:dyDescent="0.25">
      <c r="X15" s="132">
        <v>42779</v>
      </c>
      <c r="Y15" s="10">
        <v>62.77</v>
      </c>
      <c r="Z15" s="10">
        <v>63.03</v>
      </c>
      <c r="AA15" s="10">
        <v>62.44</v>
      </c>
      <c r="AB15" s="10">
        <v>62.89</v>
      </c>
      <c r="AC15" s="94">
        <v>1843600</v>
      </c>
      <c r="AD15" s="10">
        <v>62.89</v>
      </c>
      <c r="AE15" s="2">
        <f t="shared" si="0"/>
        <v>0.59000000000000341</v>
      </c>
      <c r="AF15" s="137">
        <f t="shared" si="1"/>
        <v>2.0713830465264316E-3</v>
      </c>
    </row>
    <row r="16" spans="1:32" x14ac:dyDescent="0.25">
      <c r="X16" s="132">
        <v>42776</v>
      </c>
      <c r="Y16" s="10">
        <v>62.86</v>
      </c>
      <c r="Z16" s="10">
        <v>63.34</v>
      </c>
      <c r="AA16" s="10">
        <v>62.63</v>
      </c>
      <c r="AB16" s="10">
        <v>62.76</v>
      </c>
      <c r="AC16" s="94">
        <v>1977900</v>
      </c>
      <c r="AD16" s="10">
        <v>62.76</v>
      </c>
      <c r="AE16" s="2">
        <f t="shared" si="0"/>
        <v>0.71000000000000085</v>
      </c>
      <c r="AF16" s="137">
        <f t="shared" si="1"/>
        <v>-4.7573739295909689E-3</v>
      </c>
    </row>
    <row r="17" spans="1:32" x14ac:dyDescent="0.25">
      <c r="X17" s="132">
        <v>42775</v>
      </c>
      <c r="Y17" s="10">
        <v>62.22</v>
      </c>
      <c r="Z17" s="10">
        <v>63.23</v>
      </c>
      <c r="AA17" s="10">
        <v>62.01</v>
      </c>
      <c r="AB17" s="10">
        <v>63.06</v>
      </c>
      <c r="AC17" s="94">
        <v>2509300</v>
      </c>
      <c r="AD17" s="10">
        <v>63.06</v>
      </c>
      <c r="AE17" s="2">
        <f t="shared" si="0"/>
        <v>1.2199999999999989</v>
      </c>
      <c r="AF17" s="137">
        <f t="shared" si="1"/>
        <v>1.3500482160077265E-2</v>
      </c>
    </row>
    <row r="18" spans="1:32" x14ac:dyDescent="0.25">
      <c r="A18" s="22" t="s">
        <v>81</v>
      </c>
      <c r="B18" s="12"/>
      <c r="C18" s="12">
        <f>SUM(C2:C17)</f>
        <v>75</v>
      </c>
      <c r="D18" s="13"/>
      <c r="E18" s="13"/>
      <c r="F18" s="13">
        <f>SUM(F2:F17)</f>
        <v>4679.5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2">
        <v>42774</v>
      </c>
      <c r="Y18" s="10">
        <v>61.74</v>
      </c>
      <c r="Z18" s="10">
        <v>62.33</v>
      </c>
      <c r="AA18" s="10">
        <v>61.63</v>
      </c>
      <c r="AB18" s="10">
        <v>62.22</v>
      </c>
      <c r="AC18" s="94">
        <v>1682200</v>
      </c>
      <c r="AD18" s="10">
        <v>62.22</v>
      </c>
      <c r="AE18" s="2">
        <f t="shared" si="0"/>
        <v>0.69999999999999574</v>
      </c>
      <c r="AF18" s="137">
        <f t="shared" si="1"/>
        <v>6.4703979294726821E-3</v>
      </c>
    </row>
    <row r="19" spans="1:32" x14ac:dyDescent="0.25">
      <c r="X19" s="132">
        <v>42773</v>
      </c>
      <c r="Y19" s="10">
        <v>61.68</v>
      </c>
      <c r="Z19" s="10">
        <v>61.89</v>
      </c>
      <c r="AA19" s="10">
        <v>61.52</v>
      </c>
      <c r="AB19" s="10">
        <v>61.82</v>
      </c>
      <c r="AC19" s="94">
        <v>1622800</v>
      </c>
      <c r="AD19" s="10">
        <v>61.82</v>
      </c>
      <c r="AE19" s="2">
        <f t="shared" si="0"/>
        <v>0.36999999999999744</v>
      </c>
      <c r="AF19" s="137">
        <f t="shared" si="1"/>
        <v>6.1848958333334814E-3</v>
      </c>
    </row>
    <row r="20" spans="1:32" x14ac:dyDescent="0.25">
      <c r="X20" s="132">
        <v>42772</v>
      </c>
      <c r="Y20" s="10">
        <v>62.54</v>
      </c>
      <c r="Z20" s="10">
        <v>62.61</v>
      </c>
      <c r="AA20" s="10">
        <v>61.4</v>
      </c>
      <c r="AB20" s="10">
        <v>61.44</v>
      </c>
      <c r="AC20" s="94">
        <v>2335600</v>
      </c>
      <c r="AD20" s="10">
        <v>61.44</v>
      </c>
      <c r="AE20" s="2">
        <f t="shared" si="0"/>
        <v>1.2100000000000009</v>
      </c>
      <c r="AF20" s="137">
        <f t="shared" si="1"/>
        <v>-2.0564323290291675E-2</v>
      </c>
    </row>
    <row r="21" spans="1:32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X21" s="132">
        <v>42769</v>
      </c>
      <c r="Y21" s="10">
        <v>62.13</v>
      </c>
      <c r="Z21" s="10">
        <v>62.99</v>
      </c>
      <c r="AA21" s="10">
        <v>61.87</v>
      </c>
      <c r="AB21" s="10">
        <v>62.73</v>
      </c>
      <c r="AC21" s="94">
        <v>2532400</v>
      </c>
      <c r="AD21" s="10">
        <v>62.73</v>
      </c>
      <c r="AE21" s="2">
        <f t="shared" si="0"/>
        <v>1.1200000000000045</v>
      </c>
      <c r="AF21" s="137">
        <f t="shared" si="1"/>
        <v>1.6364225534672761E-2</v>
      </c>
    </row>
    <row r="22" spans="1:32" x14ac:dyDescent="0.25">
      <c r="B22" s="192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0">
        <f t="shared" ref="H22:H29" si="4">(E22-D22)/D22</f>
        <v>-2.8524492234169606E-2</v>
      </c>
      <c r="I22" s="40"/>
      <c r="X22" s="132">
        <v>42768</v>
      </c>
      <c r="Y22" s="10">
        <v>61.64</v>
      </c>
      <c r="Z22" s="10">
        <v>62.02</v>
      </c>
      <c r="AA22" s="10">
        <v>61.5</v>
      </c>
      <c r="AB22" s="10">
        <v>61.72</v>
      </c>
      <c r="AC22" s="94">
        <v>2167900</v>
      </c>
      <c r="AD22" s="10">
        <v>61.72</v>
      </c>
      <c r="AE22" s="2">
        <f t="shared" si="0"/>
        <v>0.52000000000000313</v>
      </c>
      <c r="AF22" s="137">
        <f t="shared" si="1"/>
        <v>5.7031122698387726E-3</v>
      </c>
    </row>
    <row r="23" spans="1:32" x14ac:dyDescent="0.25">
      <c r="B23" s="192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0">
        <f t="shared" si="4"/>
        <v>-2.5388291517323608E-2</v>
      </c>
      <c r="I23" s="40"/>
      <c r="X23" s="132">
        <v>42767</v>
      </c>
      <c r="Y23" s="10">
        <v>62.32</v>
      </c>
      <c r="Z23" s="10">
        <v>62.45</v>
      </c>
      <c r="AA23" s="10">
        <v>61.36</v>
      </c>
      <c r="AB23" s="10">
        <v>61.37</v>
      </c>
      <c r="AC23" s="94">
        <v>2644100</v>
      </c>
      <c r="AD23" s="10">
        <v>61.37</v>
      </c>
      <c r="AE23" s="2">
        <f t="shared" si="0"/>
        <v>1.0900000000000034</v>
      </c>
      <c r="AF23" s="137">
        <f t="shared" si="1"/>
        <v>-1.7765685019206168E-2</v>
      </c>
    </row>
    <row r="24" spans="1:32" x14ac:dyDescent="0.25">
      <c r="B24" s="192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0">
        <f t="shared" si="4"/>
        <v>-3.4498207885304485E-2</v>
      </c>
      <c r="I24" s="40"/>
      <c r="X24" s="132">
        <v>42766</v>
      </c>
      <c r="Y24" s="10">
        <v>62.6</v>
      </c>
      <c r="Z24" s="10">
        <v>62.95</v>
      </c>
      <c r="AA24" s="10">
        <v>62.32</v>
      </c>
      <c r="AB24" s="10">
        <v>62.48</v>
      </c>
      <c r="AC24" s="94">
        <v>3543600</v>
      </c>
      <c r="AD24" s="10">
        <v>62.48</v>
      </c>
      <c r="AE24" s="2">
        <f t="shared" si="0"/>
        <v>0.63000000000000256</v>
      </c>
      <c r="AF24" s="137">
        <f t="shared" si="1"/>
        <v>-1.9169329073482899E-3</v>
      </c>
    </row>
    <row r="25" spans="1:32" x14ac:dyDescent="0.25">
      <c r="B25" s="192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0">
        <f t="shared" si="4"/>
        <v>-4.5698924731182727E-2</v>
      </c>
      <c r="I25" s="40"/>
      <c r="X25" s="132">
        <v>42765</v>
      </c>
      <c r="Y25" s="10">
        <v>62.56</v>
      </c>
      <c r="Z25" s="10">
        <v>62.94</v>
      </c>
      <c r="AA25" s="10">
        <v>62.33</v>
      </c>
      <c r="AB25" s="10">
        <v>62.6</v>
      </c>
      <c r="AC25" s="94">
        <v>1692300</v>
      </c>
      <c r="AD25" s="10">
        <v>62.6</v>
      </c>
      <c r="AE25" s="2">
        <f t="shared" si="0"/>
        <v>0.60999999999999943</v>
      </c>
      <c r="AF25" s="137">
        <f t="shared" si="1"/>
        <v>-1.913265306122458E-3</v>
      </c>
    </row>
    <row r="26" spans="1:32" x14ac:dyDescent="0.25">
      <c r="B26" s="192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0">
        <f t="shared" si="4"/>
        <v>-5.8393070489844635E-2</v>
      </c>
      <c r="I26" s="40"/>
      <c r="X26" s="132">
        <v>42762</v>
      </c>
      <c r="Y26" s="10">
        <v>62.75</v>
      </c>
      <c r="Z26" s="10">
        <v>62.86</v>
      </c>
      <c r="AA26" s="10">
        <v>62.28</v>
      </c>
      <c r="AB26" s="10">
        <v>62.72</v>
      </c>
      <c r="AC26" s="94">
        <v>1845100</v>
      </c>
      <c r="AD26" s="10">
        <v>62.72</v>
      </c>
      <c r="AE26" s="2">
        <f t="shared" si="0"/>
        <v>0.57999999999999829</v>
      </c>
      <c r="AF26" s="137">
        <f t="shared" si="1"/>
        <v>3.1897926634760765E-4</v>
      </c>
    </row>
    <row r="27" spans="1:32" x14ac:dyDescent="0.25">
      <c r="B27" s="192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0">
        <f t="shared" si="4"/>
        <v>-5.8393070489844635E-2</v>
      </c>
      <c r="I27" s="40"/>
      <c r="X27" s="132">
        <v>42761</v>
      </c>
      <c r="Y27" s="10">
        <v>62.89</v>
      </c>
      <c r="Z27" s="10">
        <v>63.04</v>
      </c>
      <c r="AA27" s="10">
        <v>62.42</v>
      </c>
      <c r="AB27" s="10">
        <v>62.7</v>
      </c>
      <c r="AC27" s="94">
        <v>1957100</v>
      </c>
      <c r="AD27" s="10">
        <v>62.7</v>
      </c>
      <c r="AE27" s="2">
        <f t="shared" si="0"/>
        <v>0.61999999999999744</v>
      </c>
      <c r="AF27" s="137">
        <f t="shared" si="1"/>
        <v>-4.9198539914298012E-3</v>
      </c>
    </row>
    <row r="28" spans="1:32" x14ac:dyDescent="0.25">
      <c r="B28" s="192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0">
        <f t="shared" si="4"/>
        <v>-7.2132616487455073E-2</v>
      </c>
      <c r="I28" s="40"/>
      <c r="X28" s="132">
        <v>42760</v>
      </c>
      <c r="Y28" s="10">
        <v>62.84</v>
      </c>
      <c r="Z28" s="10">
        <v>63.11</v>
      </c>
      <c r="AA28" s="10">
        <v>62.42</v>
      </c>
      <c r="AB28" s="10">
        <v>63.01</v>
      </c>
      <c r="AC28" s="94">
        <v>2681400</v>
      </c>
      <c r="AD28" s="10">
        <v>63.01</v>
      </c>
      <c r="AE28" s="2">
        <f t="shared" si="0"/>
        <v>0.68999999999999773</v>
      </c>
      <c r="AF28" s="137">
        <f t="shared" si="1"/>
        <v>5.4252433381203335E-3</v>
      </c>
    </row>
    <row r="29" spans="1:32" x14ac:dyDescent="0.25">
      <c r="B29" s="192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0">
        <f t="shared" si="4"/>
        <v>-4.6428013131155209E-2</v>
      </c>
      <c r="I29" s="40"/>
      <c r="X29" s="132">
        <v>42759</v>
      </c>
      <c r="Y29" s="10">
        <v>62.07</v>
      </c>
      <c r="Z29" s="10">
        <v>62.89</v>
      </c>
      <c r="AA29" s="10">
        <v>62.06</v>
      </c>
      <c r="AB29" s="10">
        <v>62.67</v>
      </c>
      <c r="AC29" s="94">
        <v>2632500</v>
      </c>
      <c r="AD29" s="10">
        <v>62.67</v>
      </c>
      <c r="AE29" s="2">
        <f t="shared" si="0"/>
        <v>0.82999999999999829</v>
      </c>
      <c r="AF29" s="137">
        <f t="shared" si="1"/>
        <v>8.8538312942691988E-3</v>
      </c>
    </row>
    <row r="30" spans="1:32" x14ac:dyDescent="0.25">
      <c r="B30" s="192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30">
        <f t="shared" ref="H30:H35" si="7">(E30-D30)/D30</f>
        <v>-2.2438412050839476E-2</v>
      </c>
      <c r="I30" s="40"/>
      <c r="X30" s="132">
        <v>42758</v>
      </c>
      <c r="Y30" s="10">
        <v>62.19</v>
      </c>
      <c r="Z30" s="10">
        <v>62.35</v>
      </c>
      <c r="AA30" s="10">
        <v>61.55</v>
      </c>
      <c r="AB30" s="10">
        <v>62.12</v>
      </c>
      <c r="AC30" s="94">
        <v>2837400</v>
      </c>
      <c r="AD30" s="10">
        <v>62.12</v>
      </c>
      <c r="AE30" s="2">
        <f t="shared" si="0"/>
        <v>0.80000000000000426</v>
      </c>
      <c r="AF30" s="137">
        <f t="shared" si="1"/>
        <v>-4.806151874399256E-3</v>
      </c>
    </row>
    <row r="31" spans="1:32" x14ac:dyDescent="0.25">
      <c r="B31" s="192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30">
        <f t="shared" si="7"/>
        <v>-4.3778440294994496E-2</v>
      </c>
      <c r="I31" s="40"/>
      <c r="X31" s="132">
        <v>42755</v>
      </c>
      <c r="Y31" s="10">
        <v>62</v>
      </c>
      <c r="Z31" s="10">
        <v>62.72</v>
      </c>
      <c r="AA31" s="10">
        <v>61.92</v>
      </c>
      <c r="AB31" s="10">
        <v>62.42</v>
      </c>
      <c r="AC31" s="94">
        <v>3104000</v>
      </c>
      <c r="AD31" s="10">
        <v>62.42</v>
      </c>
      <c r="AE31" s="2">
        <f t="shared" si="0"/>
        <v>0.79999999999999716</v>
      </c>
      <c r="AF31" s="137">
        <f t="shared" si="1"/>
        <v>1.2489862124898776E-2</v>
      </c>
    </row>
    <row r="32" spans="1:32" x14ac:dyDescent="0.25">
      <c r="B32" s="192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30">
        <f t="shared" si="7"/>
        <v>-2.4007531774674316E-2</v>
      </c>
      <c r="I32" s="40"/>
      <c r="X32" s="132">
        <v>42754</v>
      </c>
      <c r="Y32" s="10">
        <v>62.11</v>
      </c>
      <c r="Z32" s="10">
        <v>62.13</v>
      </c>
      <c r="AA32" s="10">
        <v>61.62</v>
      </c>
      <c r="AB32" s="10">
        <v>61.65</v>
      </c>
      <c r="AC32" s="94">
        <v>2421500</v>
      </c>
      <c r="AD32" s="10">
        <v>61.65</v>
      </c>
      <c r="AE32" s="2">
        <f t="shared" si="0"/>
        <v>0.51000000000000512</v>
      </c>
      <c r="AF32" s="137">
        <f t="shared" si="1"/>
        <v>-6.9265463917526082E-3</v>
      </c>
    </row>
    <row r="33" spans="1:32" x14ac:dyDescent="0.25">
      <c r="B33" s="192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30">
        <f t="shared" si="7"/>
        <v>-1.1297662011611469E-2</v>
      </c>
      <c r="I33" s="40"/>
      <c r="X33" s="132">
        <v>42753</v>
      </c>
      <c r="Y33" s="10">
        <v>61.88</v>
      </c>
      <c r="Z33" s="10">
        <v>62.28</v>
      </c>
      <c r="AA33" s="10">
        <v>61.82</v>
      </c>
      <c r="AB33" s="10">
        <v>62.08</v>
      </c>
      <c r="AC33" s="94">
        <v>2116400</v>
      </c>
      <c r="AD33" s="10">
        <v>62.08</v>
      </c>
      <c r="AE33" s="2">
        <f t="shared" si="0"/>
        <v>0.46000000000000085</v>
      </c>
      <c r="AF33" s="137">
        <f t="shared" si="1"/>
        <v>1.6134236850597894E-3</v>
      </c>
    </row>
    <row r="34" spans="1:32" x14ac:dyDescent="0.25">
      <c r="A34" t="s">
        <v>389</v>
      </c>
      <c r="B34" s="192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30">
        <f t="shared" si="7"/>
        <v>-2.4189723320158122E-2</v>
      </c>
      <c r="I34" s="40"/>
      <c r="X34" s="132">
        <v>42752</v>
      </c>
      <c r="Y34" s="10">
        <v>60.96</v>
      </c>
      <c r="Z34" s="10">
        <v>62.06</v>
      </c>
      <c r="AA34" s="10">
        <v>60.96</v>
      </c>
      <c r="AB34" s="10">
        <v>61.98</v>
      </c>
      <c r="AC34" s="94">
        <v>2775100</v>
      </c>
      <c r="AD34" s="10">
        <v>61.98</v>
      </c>
      <c r="AE34" s="2">
        <f t="shared" si="0"/>
        <v>1.1000000000000014</v>
      </c>
      <c r="AF34" s="137">
        <f t="shared" si="1"/>
        <v>1.4734774066797574E-2</v>
      </c>
    </row>
    <row r="35" spans="1:32" x14ac:dyDescent="0.25">
      <c r="A35" t="s">
        <v>493</v>
      </c>
      <c r="B35" s="192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30">
        <f t="shared" si="7"/>
        <v>-6.0293991759444322E-3</v>
      </c>
      <c r="I35" s="40"/>
      <c r="X35" s="132">
        <v>42748</v>
      </c>
      <c r="Y35" s="10">
        <v>61.21</v>
      </c>
      <c r="Z35" s="10">
        <v>61.47</v>
      </c>
      <c r="AA35" s="10">
        <v>60.93</v>
      </c>
      <c r="AB35" s="10">
        <v>61.08</v>
      </c>
      <c r="AC35" s="94">
        <v>1853800</v>
      </c>
      <c r="AD35" s="10">
        <v>61.08</v>
      </c>
      <c r="AE35" s="2">
        <f t="shared" si="0"/>
        <v>0.53999999999999915</v>
      </c>
      <c r="AF35" s="137">
        <f t="shared" si="1"/>
        <v>-3.1010282356782604E-3</v>
      </c>
    </row>
    <row r="36" spans="1:32" x14ac:dyDescent="0.25">
      <c r="B36" s="192"/>
      <c r="C36" s="10"/>
      <c r="D36" s="40"/>
      <c r="E36" s="40"/>
      <c r="F36" s="40"/>
      <c r="G36" s="40"/>
      <c r="H36" s="230"/>
      <c r="I36" s="40"/>
      <c r="X36" s="132">
        <v>42747</v>
      </c>
      <c r="Y36" s="10">
        <v>60.92</v>
      </c>
      <c r="Z36" s="10">
        <v>61.88</v>
      </c>
      <c r="AA36" s="10">
        <v>60.86</v>
      </c>
      <c r="AB36" s="10">
        <v>61.27</v>
      </c>
      <c r="AC36" s="94">
        <v>2961800</v>
      </c>
      <c r="AD36" s="10">
        <v>61.27</v>
      </c>
      <c r="AE36" s="2">
        <f t="shared" si="0"/>
        <v>1.0200000000000031</v>
      </c>
      <c r="AF36" s="137">
        <f t="shared" si="1"/>
        <v>4.7556575926535061E-3</v>
      </c>
    </row>
    <row r="37" spans="1:32" x14ac:dyDescent="0.25">
      <c r="B37" s="192"/>
      <c r="C37" s="10"/>
      <c r="D37" s="40"/>
      <c r="E37" s="40"/>
      <c r="F37" s="40"/>
      <c r="G37" s="40"/>
      <c r="H37" s="230"/>
      <c r="I37" s="40"/>
      <c r="X37" s="132">
        <v>42746</v>
      </c>
      <c r="Y37" s="10">
        <v>60.45</v>
      </c>
      <c r="Z37" s="10">
        <v>61.11</v>
      </c>
      <c r="AA37" s="10">
        <v>60.31</v>
      </c>
      <c r="AB37" s="10">
        <v>60.98</v>
      </c>
      <c r="AC37" s="94">
        <v>3374000</v>
      </c>
      <c r="AD37" s="10">
        <v>60.98</v>
      </c>
      <c r="AE37" s="2">
        <f t="shared" si="0"/>
        <v>0.79999999999999716</v>
      </c>
      <c r="AF37" s="137">
        <f t="shared" si="1"/>
        <v>8.7675765095118763E-3</v>
      </c>
    </row>
    <row r="38" spans="1:32" x14ac:dyDescent="0.25">
      <c r="B38" s="192"/>
      <c r="C38" s="10"/>
      <c r="D38" s="40"/>
      <c r="E38" s="40"/>
      <c r="F38" s="40"/>
      <c r="G38" s="40"/>
      <c r="H38" s="230"/>
      <c r="I38" s="40"/>
      <c r="X38" s="132">
        <v>42745</v>
      </c>
      <c r="Y38" s="10">
        <v>60.6</v>
      </c>
      <c r="Z38" s="10">
        <v>60.73</v>
      </c>
      <c r="AA38" s="10">
        <v>60.27</v>
      </c>
      <c r="AB38" s="10">
        <v>60.45</v>
      </c>
      <c r="AC38" s="94">
        <v>3244300</v>
      </c>
      <c r="AD38" s="10">
        <v>60.45</v>
      </c>
      <c r="AE38" s="2">
        <f t="shared" si="0"/>
        <v>0.45999999999999375</v>
      </c>
      <c r="AF38" s="137">
        <f t="shared" si="1"/>
        <v>-1.8163804491413416E-3</v>
      </c>
    </row>
    <row r="39" spans="1:32" x14ac:dyDescent="0.25">
      <c r="B39" s="192"/>
      <c r="C39" s="10"/>
      <c r="D39" s="40"/>
      <c r="E39" s="40"/>
      <c r="F39" s="40"/>
      <c r="G39" s="40"/>
      <c r="H39" s="230"/>
      <c r="I39" s="40"/>
      <c r="X39" s="132">
        <v>42744</v>
      </c>
      <c r="Y39" s="10">
        <v>61.36</v>
      </c>
      <c r="Z39" s="10">
        <v>61.56</v>
      </c>
      <c r="AA39" s="10">
        <v>60.52</v>
      </c>
      <c r="AB39" s="10">
        <v>60.56</v>
      </c>
      <c r="AC39" s="94">
        <v>3306300</v>
      </c>
      <c r="AD39" s="10">
        <v>60.56</v>
      </c>
      <c r="AE39" s="2">
        <f t="shared" si="0"/>
        <v>1.0399999999999991</v>
      </c>
      <c r="AF39" s="137">
        <f t="shared" si="1"/>
        <v>-1.4803969415975171E-2</v>
      </c>
    </row>
    <row r="40" spans="1:32" x14ac:dyDescent="0.25">
      <c r="L40" t="s">
        <v>212</v>
      </c>
      <c r="M40" s="2">
        <f>M49+K49-F49</f>
        <v>49.949999999999818</v>
      </c>
      <c r="X40" s="132">
        <v>42741</v>
      </c>
      <c r="Y40" s="10">
        <v>61.72</v>
      </c>
      <c r="Z40" s="10">
        <v>61.82</v>
      </c>
      <c r="AA40" s="10">
        <v>61.36</v>
      </c>
      <c r="AB40" s="10">
        <v>61.47</v>
      </c>
      <c r="AC40" s="94">
        <v>2282000</v>
      </c>
      <c r="AD40" s="10">
        <v>61.47</v>
      </c>
      <c r="AE40" s="2">
        <f t="shared" si="0"/>
        <v>0.46000000000000085</v>
      </c>
      <c r="AF40" s="137" t="e">
        <f t="shared" si="1"/>
        <v>#DIV/0!</v>
      </c>
    </row>
    <row r="41" spans="1:32" ht="20.25" thickBot="1" x14ac:dyDescent="0.35">
      <c r="A41" s="384" t="s">
        <v>1</v>
      </c>
      <c r="B41" s="384" t="s">
        <v>2</v>
      </c>
      <c r="C41" s="384" t="s">
        <v>4</v>
      </c>
      <c r="D41" s="386" t="s">
        <v>5</v>
      </c>
      <c r="E41" s="386" t="s">
        <v>94</v>
      </c>
      <c r="F41" s="386" t="s">
        <v>60</v>
      </c>
      <c r="G41" s="384" t="s">
        <v>3</v>
      </c>
      <c r="H41" s="384" t="s">
        <v>6</v>
      </c>
      <c r="I41" s="384" t="s">
        <v>7</v>
      </c>
      <c r="J41" s="384" t="s">
        <v>95</v>
      </c>
      <c r="K41" s="384" t="s">
        <v>61</v>
      </c>
      <c r="L41" s="384" t="s">
        <v>77</v>
      </c>
      <c r="M41" s="384" t="s">
        <v>38</v>
      </c>
      <c r="O41" s="703" t="s">
        <v>78</v>
      </c>
      <c r="P41" s="703"/>
      <c r="X41" s="132">
        <v>42741</v>
      </c>
      <c r="Y41" s="10" t="s">
        <v>237</v>
      </c>
      <c r="Z41" s="10"/>
      <c r="AA41" s="10"/>
      <c r="AB41" s="10"/>
      <c r="AC41" s="94"/>
      <c r="AD41" s="10"/>
      <c r="AE41" s="2">
        <f t="shared" si="0"/>
        <v>0</v>
      </c>
      <c r="AF41" s="137">
        <f t="shared" si="1"/>
        <v>-1</v>
      </c>
    </row>
    <row r="42" spans="1:32" ht="21" thickTop="1" thickBot="1" x14ac:dyDescent="0.35">
      <c r="A42" s="387" t="s">
        <v>173</v>
      </c>
      <c r="B42" s="389">
        <v>42376</v>
      </c>
      <c r="C42" s="378">
        <v>50</v>
      </c>
      <c r="D42" s="379">
        <v>55.15</v>
      </c>
      <c r="E42" s="379">
        <v>0</v>
      </c>
      <c r="F42" s="379">
        <f>C42*D42+E42</f>
        <v>2757.5</v>
      </c>
      <c r="G42" s="377">
        <v>42409</v>
      </c>
      <c r="H42" s="382">
        <v>50</v>
      </c>
      <c r="I42" s="379">
        <v>56.15</v>
      </c>
      <c r="J42" s="379">
        <v>0.05</v>
      </c>
      <c r="K42" s="378">
        <f>H42*I42-J42</f>
        <v>2807.45</v>
      </c>
      <c r="L42" s="377"/>
      <c r="M42" s="379"/>
      <c r="O42" s="82">
        <v>1.1000000000000001</v>
      </c>
      <c r="P42" s="82">
        <f>O42*$Q$4</f>
        <v>66.62700000000001</v>
      </c>
      <c r="Q42" s="2"/>
      <c r="T42" s="90"/>
      <c r="X42" s="132">
        <v>42740</v>
      </c>
      <c r="Y42" s="10">
        <v>62</v>
      </c>
      <c r="Z42" s="10">
        <v>62.47</v>
      </c>
      <c r="AA42" s="10">
        <v>61.71</v>
      </c>
      <c r="AB42" s="10">
        <v>62.25</v>
      </c>
      <c r="AC42" s="94">
        <v>2558500</v>
      </c>
      <c r="AD42" s="10">
        <v>61.77</v>
      </c>
      <c r="AE42" s="2">
        <f t="shared" si="0"/>
        <v>0.75999999999999801</v>
      </c>
      <c r="AF42" s="137">
        <f t="shared" si="1"/>
        <v>2.9225523623965799E-3</v>
      </c>
    </row>
    <row r="43" spans="1:32" ht="15.75" thickTop="1" x14ac:dyDescent="0.25">
      <c r="A43" s="388" t="s">
        <v>71</v>
      </c>
      <c r="B43" s="389"/>
      <c r="C43" s="378"/>
      <c r="D43" s="379"/>
      <c r="E43" s="379"/>
      <c r="F43" s="379"/>
      <c r="G43" s="377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8">O43*$Q$4</f>
        <v>66.021300000000011</v>
      </c>
      <c r="Q43" s="2"/>
      <c r="T43" s="127" t="s">
        <v>98</v>
      </c>
      <c r="U43" s="128">
        <v>60.91</v>
      </c>
      <c r="X43" s="132">
        <v>42739</v>
      </c>
      <c r="Y43" s="10">
        <v>62.05</v>
      </c>
      <c r="Z43" s="10">
        <v>62.56</v>
      </c>
      <c r="AA43" s="10">
        <v>61.95</v>
      </c>
      <c r="AB43" s="10">
        <v>62.07</v>
      </c>
      <c r="AC43" s="94">
        <v>2137200</v>
      </c>
      <c r="AD43" s="10">
        <v>61.59</v>
      </c>
      <c r="AE43" s="2">
        <f t="shared" si="0"/>
        <v>0.60999999999999943</v>
      </c>
      <c r="AF43" s="137">
        <f t="shared" si="1"/>
        <v>-3.246226261970353E-4</v>
      </c>
    </row>
    <row r="44" spans="1:32" x14ac:dyDescent="0.25">
      <c r="A44" s="378"/>
      <c r="B44" s="377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8"/>
        <v>65.415599999999998</v>
      </c>
      <c r="Q44" s="2"/>
      <c r="T44" s="92" t="s">
        <v>99</v>
      </c>
      <c r="U44" s="129">
        <v>60.98</v>
      </c>
      <c r="X44" s="132">
        <v>42738</v>
      </c>
      <c r="Y44" s="10">
        <v>62.09</v>
      </c>
      <c r="Z44" s="10">
        <v>62.24</v>
      </c>
      <c r="AA44" s="10">
        <v>61.36</v>
      </c>
      <c r="AB44" s="10">
        <v>62.09</v>
      </c>
      <c r="AC44" s="94">
        <v>2327900</v>
      </c>
      <c r="AD44" s="10">
        <v>61.61</v>
      </c>
      <c r="AE44" s="2">
        <f t="shared" si="0"/>
        <v>0.88000000000000256</v>
      </c>
      <c r="AF44" s="137">
        <f t="shared" si="1"/>
        <v>5.2210801109480176E-3</v>
      </c>
    </row>
    <row r="45" spans="1:32" x14ac:dyDescent="0.25">
      <c r="A45" s="378"/>
      <c r="B45" s="377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8"/>
        <v>64.809899999999999</v>
      </c>
      <c r="Q45" s="2"/>
      <c r="T45" s="92" t="s">
        <v>100</v>
      </c>
      <c r="U45" s="129" t="s">
        <v>129</v>
      </c>
      <c r="X45" s="132">
        <v>42734</v>
      </c>
      <c r="Y45" s="10">
        <v>62.37</v>
      </c>
      <c r="Z45" s="10">
        <v>62.47</v>
      </c>
      <c r="AA45" s="10">
        <v>61.58</v>
      </c>
      <c r="AB45" s="10">
        <v>61.77</v>
      </c>
      <c r="AC45" s="94">
        <v>1937700</v>
      </c>
      <c r="AD45" s="10">
        <v>61.29</v>
      </c>
      <c r="AE45" s="2">
        <f t="shared" si="0"/>
        <v>0.89000000000000057</v>
      </c>
      <c r="AF45" s="137">
        <f t="shared" si="1"/>
        <v>-9.5345830639949058E-3</v>
      </c>
    </row>
    <row r="46" spans="1:32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8"/>
        <v>64.2042</v>
      </c>
      <c r="Q46" s="2"/>
      <c r="T46" s="92" t="s">
        <v>101</v>
      </c>
      <c r="U46" s="129" t="s">
        <v>129</v>
      </c>
      <c r="X46" s="132">
        <v>42733</v>
      </c>
      <c r="Y46" s="10">
        <v>61.71</v>
      </c>
      <c r="Z46" s="10">
        <v>62.42</v>
      </c>
      <c r="AA46" s="10">
        <v>61.67</v>
      </c>
      <c r="AB46" s="10">
        <v>62.36</v>
      </c>
      <c r="AC46" s="94">
        <v>1483300</v>
      </c>
      <c r="AD46" s="10">
        <v>61.88</v>
      </c>
      <c r="AE46" s="2">
        <f t="shared" si="0"/>
        <v>0.75</v>
      </c>
      <c r="AF46" s="137">
        <f t="shared" si="1"/>
        <v>7.6534766324702908E-3</v>
      </c>
    </row>
    <row r="47" spans="1:32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1.05</v>
      </c>
      <c r="P47" s="82">
        <f t="shared" si="8"/>
        <v>63.598500000000001</v>
      </c>
      <c r="Q47" s="2"/>
      <c r="T47" s="92" t="s">
        <v>102</v>
      </c>
      <c r="U47" s="129">
        <v>62.4</v>
      </c>
      <c r="X47" s="132">
        <v>42732</v>
      </c>
      <c r="Y47" s="10">
        <v>62.11</v>
      </c>
      <c r="Z47" s="10">
        <v>62.5</v>
      </c>
      <c r="AA47" s="10">
        <v>61.67</v>
      </c>
      <c r="AB47" s="10">
        <v>61.89</v>
      </c>
      <c r="AC47" s="94">
        <v>1701700</v>
      </c>
      <c r="AD47" s="10">
        <v>61.41</v>
      </c>
      <c r="AE47" s="2">
        <f t="shared" si="0"/>
        <v>0.82999999999999829</v>
      </c>
      <c r="AF47" s="137">
        <f t="shared" si="1"/>
        <v>-5.0226830848996151E-3</v>
      </c>
    </row>
    <row r="48" spans="1:32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1.04</v>
      </c>
      <c r="P48" s="82">
        <f t="shared" si="8"/>
        <v>62.992800000000003</v>
      </c>
      <c r="Q48" s="2"/>
      <c r="T48" s="92" t="s">
        <v>103</v>
      </c>
      <c r="U48" s="129">
        <v>0.52410999999999996</v>
      </c>
      <c r="X48" s="132">
        <v>42731</v>
      </c>
      <c r="Y48" s="10">
        <v>62.32</v>
      </c>
      <c r="Z48" s="10">
        <v>62.43</v>
      </c>
      <c r="AA48" s="10">
        <v>61.97</v>
      </c>
      <c r="AB48" s="10">
        <v>62.2</v>
      </c>
      <c r="AC48" s="94">
        <v>1599700</v>
      </c>
      <c r="AD48" s="10">
        <v>61.72</v>
      </c>
      <c r="AE48" s="2">
        <f t="shared" si="0"/>
        <v>0.46000000000000085</v>
      </c>
      <c r="AF48" s="137">
        <f t="shared" si="1"/>
        <v>6.4850843060959562E-4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2">
        <v>1.03</v>
      </c>
      <c r="P49" s="82">
        <f t="shared" si="8"/>
        <v>62.387100000000004</v>
      </c>
      <c r="Q49" s="2"/>
      <c r="T49" s="92" t="s">
        <v>122</v>
      </c>
      <c r="U49" s="129" t="s">
        <v>351</v>
      </c>
      <c r="X49" s="132">
        <v>42727</v>
      </c>
      <c r="Y49" s="10">
        <v>62.46</v>
      </c>
      <c r="Z49" s="10">
        <v>62.47</v>
      </c>
      <c r="AA49" s="10">
        <v>61.87</v>
      </c>
      <c r="AB49" s="10">
        <v>62.16</v>
      </c>
      <c r="AC49" s="94">
        <v>1460100</v>
      </c>
      <c r="AD49" s="10">
        <v>61.68</v>
      </c>
      <c r="AE49" s="2">
        <f t="shared" si="0"/>
        <v>0.60000000000000142</v>
      </c>
      <c r="AF49" s="137">
        <f t="shared" si="1"/>
        <v>-4.8402710551790351E-3</v>
      </c>
    </row>
    <row r="50" spans="1:32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1.02</v>
      </c>
      <c r="P50" s="82">
        <f t="shared" si="8"/>
        <v>61.781399999999998</v>
      </c>
      <c r="Q50" s="2"/>
      <c r="T50" s="92"/>
      <c r="U50" s="129"/>
      <c r="X50" s="132">
        <v>42726</v>
      </c>
      <c r="Y50" s="10">
        <v>62.28</v>
      </c>
      <c r="Z50" s="10">
        <v>62.52</v>
      </c>
      <c r="AA50" s="10">
        <v>62.02</v>
      </c>
      <c r="AB50" s="10">
        <v>62.46</v>
      </c>
      <c r="AC50" s="94">
        <v>2645300</v>
      </c>
      <c r="AD50" s="10">
        <v>61.98</v>
      </c>
      <c r="AE50" s="2">
        <f t="shared" si="0"/>
        <v>0.5</v>
      </c>
      <c r="AF50" s="137">
        <f t="shared" si="1"/>
        <v>1.1306735583911376E-3</v>
      </c>
    </row>
    <row r="51" spans="1:32" x14ac:dyDescent="0.25">
      <c r="O51" s="82">
        <v>1.01</v>
      </c>
      <c r="P51" s="82">
        <f t="shared" si="8"/>
        <v>61.175699999999999</v>
      </c>
      <c r="Q51" s="2"/>
      <c r="T51" s="92" t="s">
        <v>105</v>
      </c>
      <c r="U51" s="129" t="s">
        <v>726</v>
      </c>
      <c r="X51" s="132">
        <v>42725</v>
      </c>
      <c r="Y51" s="10">
        <v>61.42</v>
      </c>
      <c r="Z51" s="10">
        <v>62.95</v>
      </c>
      <c r="AA51" s="10">
        <v>61.4</v>
      </c>
      <c r="AB51" s="10">
        <v>62.39</v>
      </c>
      <c r="AC51" s="94">
        <v>4290200</v>
      </c>
      <c r="AD51" s="10">
        <v>61.91</v>
      </c>
      <c r="AE51" s="2">
        <f t="shared" si="0"/>
        <v>1.5500000000000043</v>
      </c>
      <c r="AF51" s="137">
        <f t="shared" si="1"/>
        <v>1.5250901935060623E-2</v>
      </c>
    </row>
    <row r="52" spans="1:32" x14ac:dyDescent="0.25">
      <c r="O52" s="82">
        <v>1</v>
      </c>
      <c r="P52" s="82">
        <f t="shared" si="8"/>
        <v>60.57</v>
      </c>
      <c r="Q52" s="2"/>
      <c r="T52" s="92" t="s">
        <v>106</v>
      </c>
      <c r="U52" s="129" t="s">
        <v>581</v>
      </c>
      <c r="X52" s="132">
        <v>42724</v>
      </c>
      <c r="Y52" s="10">
        <v>61.06</v>
      </c>
      <c r="Z52" s="10">
        <v>62.19</v>
      </c>
      <c r="AA52" s="10">
        <v>60.52</v>
      </c>
      <c r="AB52" s="10">
        <v>61.45</v>
      </c>
      <c r="AC52" s="94">
        <v>6168100</v>
      </c>
      <c r="AD52" s="10">
        <v>60.98</v>
      </c>
      <c r="AE52" s="2">
        <f t="shared" si="0"/>
        <v>1.6699999999999946</v>
      </c>
      <c r="AF52" s="137">
        <f t="shared" si="1"/>
        <v>-2.5411539076234724E-2</v>
      </c>
    </row>
    <row r="53" spans="1:32" x14ac:dyDescent="0.25">
      <c r="O53" s="82">
        <v>0.99</v>
      </c>
      <c r="P53" s="82">
        <f t="shared" si="8"/>
        <v>59.964300000000001</v>
      </c>
      <c r="Q53" s="2"/>
      <c r="T53" s="506" t="s">
        <v>107</v>
      </c>
      <c r="U53" s="130">
        <v>1893398</v>
      </c>
      <c r="X53" s="132">
        <v>42723</v>
      </c>
      <c r="Y53" s="10">
        <v>63.74</v>
      </c>
      <c r="Z53" s="10">
        <v>63.74</v>
      </c>
      <c r="AA53" s="10">
        <v>62.91</v>
      </c>
      <c r="AB53" s="10">
        <v>63.06</v>
      </c>
      <c r="AC53" s="94">
        <v>2913300</v>
      </c>
      <c r="AD53" s="10">
        <v>62.57</v>
      </c>
      <c r="AE53" s="2">
        <f t="shared" si="0"/>
        <v>0.8300000000000054</v>
      </c>
      <c r="AF53" s="137">
        <f t="shared" si="1"/>
        <v>-6.9830185684811585E-3</v>
      </c>
    </row>
    <row r="54" spans="1:32" x14ac:dyDescent="0.25">
      <c r="O54" s="82">
        <v>0.98</v>
      </c>
      <c r="P54" s="82">
        <f t="shared" si="8"/>
        <v>59.358600000000003</v>
      </c>
      <c r="Q54" s="2"/>
      <c r="T54" s="506" t="s">
        <v>110</v>
      </c>
      <c r="U54" s="130">
        <v>2916780</v>
      </c>
      <c r="X54" s="132">
        <v>42720</v>
      </c>
      <c r="Y54" s="10">
        <v>62.88</v>
      </c>
      <c r="Z54" s="10">
        <v>63.67</v>
      </c>
      <c r="AA54" s="10">
        <v>62.88</v>
      </c>
      <c r="AB54" s="10">
        <v>63.5</v>
      </c>
      <c r="AC54" s="94">
        <v>3883900</v>
      </c>
      <c r="AD54" s="10">
        <v>63.01</v>
      </c>
      <c r="AE54" s="2">
        <f t="shared" si="0"/>
        <v>0.78999999999999915</v>
      </c>
      <c r="AF54" s="137">
        <f t="shared" si="1"/>
        <v>1.0747513634905337E-2</v>
      </c>
    </row>
    <row r="55" spans="1:32" x14ac:dyDescent="0.25">
      <c r="O55" s="82">
        <v>0.97</v>
      </c>
      <c r="P55" s="82">
        <f t="shared" si="8"/>
        <v>58.752899999999997</v>
      </c>
      <c r="T55" s="92" t="s">
        <v>108</v>
      </c>
      <c r="U55" s="129" t="s">
        <v>727</v>
      </c>
      <c r="X55" s="132">
        <v>42719</v>
      </c>
      <c r="Y55" s="10">
        <v>62.07</v>
      </c>
      <c r="Z55" s="10">
        <v>62.97</v>
      </c>
      <c r="AA55" s="10">
        <v>61.92</v>
      </c>
      <c r="AB55" s="10">
        <v>62.82</v>
      </c>
      <c r="AC55" s="94">
        <v>2963700</v>
      </c>
      <c r="AD55" s="10">
        <v>62.34</v>
      </c>
      <c r="AE55" s="2">
        <f t="shared" si="0"/>
        <v>1.0499999999999972</v>
      </c>
      <c r="AF55" s="137">
        <f t="shared" si="1"/>
        <v>-8.0141048244908308E-4</v>
      </c>
    </row>
    <row r="56" spans="1:32" x14ac:dyDescent="0.25">
      <c r="O56" s="82">
        <v>0.96</v>
      </c>
      <c r="P56" s="82">
        <f t="shared" si="8"/>
        <v>58.147199999999998</v>
      </c>
      <c r="T56" s="92" t="s">
        <v>111</v>
      </c>
      <c r="U56" s="129">
        <v>22.68</v>
      </c>
      <c r="X56" s="132">
        <v>42718</v>
      </c>
      <c r="Y56" s="10">
        <v>63.9</v>
      </c>
      <c r="Z56" s="10">
        <v>64.06</v>
      </c>
      <c r="AA56" s="10">
        <v>62.67</v>
      </c>
      <c r="AB56" s="10">
        <v>62.87</v>
      </c>
      <c r="AC56" s="94">
        <v>2594100</v>
      </c>
      <c r="AD56" s="10">
        <v>62.39</v>
      </c>
      <c r="AE56" s="2">
        <f t="shared" si="0"/>
        <v>1.3900000000000006</v>
      </c>
      <c r="AF56" s="137">
        <f t="shared" si="1"/>
        <v>-1.3596837944664042E-2</v>
      </c>
    </row>
    <row r="57" spans="1:32" x14ac:dyDescent="0.25">
      <c r="O57" s="82">
        <v>0.95</v>
      </c>
      <c r="P57" s="82">
        <f t="shared" si="8"/>
        <v>57.541499999999999</v>
      </c>
      <c r="T57" s="92" t="s">
        <v>112</v>
      </c>
      <c r="U57" s="129">
        <v>2.68</v>
      </c>
      <c r="X57" s="132">
        <v>42717</v>
      </c>
      <c r="Y57" s="10">
        <v>63.85</v>
      </c>
      <c r="Z57" s="10">
        <v>64.03</v>
      </c>
      <c r="AA57" s="10">
        <v>63.47</v>
      </c>
      <c r="AB57" s="10">
        <v>63.74</v>
      </c>
      <c r="AC57" s="94">
        <v>3113000</v>
      </c>
      <c r="AD57" s="10">
        <v>63.25</v>
      </c>
      <c r="AE57" s="2">
        <f t="shared" si="0"/>
        <v>0.56000000000000227</v>
      </c>
      <c r="AF57" s="137">
        <f t="shared" si="1"/>
        <v>-2.0511202272009976E-3</v>
      </c>
    </row>
    <row r="58" spans="1:32" x14ac:dyDescent="0.25">
      <c r="O58" s="82">
        <v>0.94</v>
      </c>
      <c r="P58" s="82">
        <f t="shared" si="8"/>
        <v>56.9358</v>
      </c>
      <c r="T58" s="92" t="s">
        <v>109</v>
      </c>
      <c r="U58" s="129" t="s">
        <v>728</v>
      </c>
      <c r="X58" s="132">
        <v>42716</v>
      </c>
      <c r="Y58" s="10">
        <v>63.05</v>
      </c>
      <c r="Z58" s="10">
        <v>63.92</v>
      </c>
      <c r="AA58" s="10">
        <v>63.05</v>
      </c>
      <c r="AB58" s="10">
        <v>63.87</v>
      </c>
      <c r="AC58" s="94">
        <v>1802600</v>
      </c>
      <c r="AD58" s="10">
        <v>63.38</v>
      </c>
      <c r="AE58" s="2">
        <f t="shared" si="0"/>
        <v>0.87000000000000455</v>
      </c>
      <c r="AF58" s="137">
        <f t="shared" si="1"/>
        <v>1.0684101419231373E-2</v>
      </c>
    </row>
    <row r="59" spans="1:32" x14ac:dyDescent="0.25">
      <c r="O59" s="82">
        <v>0.93</v>
      </c>
      <c r="P59" s="82">
        <f t="shared" si="8"/>
        <v>56.330100000000002</v>
      </c>
      <c r="X59" s="132">
        <v>42713</v>
      </c>
      <c r="Y59" s="10">
        <v>62.56</v>
      </c>
      <c r="Z59" s="10">
        <v>63.22</v>
      </c>
      <c r="AA59" s="10">
        <v>62.36</v>
      </c>
      <c r="AB59" s="10">
        <v>63.2</v>
      </c>
      <c r="AC59" s="94">
        <v>1938500</v>
      </c>
      <c r="AD59" s="10">
        <v>62.71</v>
      </c>
      <c r="AE59" s="2">
        <f t="shared" si="0"/>
        <v>0.85999999999999943</v>
      </c>
      <c r="AF59" s="137">
        <f t="shared" si="1"/>
        <v>1.1451612903225827E-2</v>
      </c>
    </row>
    <row r="60" spans="1:32" x14ac:dyDescent="0.25">
      <c r="O60" s="82">
        <v>0.92</v>
      </c>
      <c r="P60" s="82">
        <f t="shared" si="8"/>
        <v>55.724400000000003</v>
      </c>
      <c r="X60" s="132">
        <v>42712</v>
      </c>
      <c r="Y60" s="10">
        <v>62.7</v>
      </c>
      <c r="Z60" s="10">
        <v>62.77</v>
      </c>
      <c r="AA60" s="10">
        <v>62.13</v>
      </c>
      <c r="AB60" s="10">
        <v>62.48</v>
      </c>
      <c r="AC60" s="94">
        <v>2646200</v>
      </c>
      <c r="AD60" s="10">
        <v>62</v>
      </c>
      <c r="AE60" s="2">
        <f t="shared" si="0"/>
        <v>0.64000000000000057</v>
      </c>
      <c r="AF60" s="137">
        <f t="shared" si="1"/>
        <v>-8.0000000000000071E-3</v>
      </c>
    </row>
    <row r="61" spans="1:32" x14ac:dyDescent="0.25">
      <c r="O61" s="82">
        <v>0.91</v>
      </c>
      <c r="P61" s="82">
        <f t="shared" si="8"/>
        <v>55.118700000000004</v>
      </c>
      <c r="X61" s="132">
        <v>42711</v>
      </c>
      <c r="Y61" s="10">
        <v>61.24</v>
      </c>
      <c r="Z61" s="10">
        <v>63.27</v>
      </c>
      <c r="AA61" s="10">
        <v>61.24</v>
      </c>
      <c r="AB61" s="10">
        <v>62.99</v>
      </c>
      <c r="AC61" s="94">
        <v>3564600</v>
      </c>
      <c r="AD61" s="10">
        <v>62.5</v>
      </c>
      <c r="AE61" s="2">
        <f t="shared" si="0"/>
        <v>2.0300000000000011</v>
      </c>
      <c r="AF61" s="137">
        <f t="shared" si="1"/>
        <v>3.2034346103038347E-2</v>
      </c>
    </row>
    <row r="62" spans="1:32" x14ac:dyDescent="0.25">
      <c r="O62" s="82">
        <v>0.9</v>
      </c>
      <c r="P62" s="82">
        <f t="shared" si="8"/>
        <v>54.512999999999998</v>
      </c>
      <c r="X62" s="132">
        <v>42710</v>
      </c>
      <c r="Y62" s="10">
        <v>61.18</v>
      </c>
      <c r="Z62" s="10">
        <v>61.38</v>
      </c>
      <c r="AA62" s="10">
        <v>60.8</v>
      </c>
      <c r="AB62" s="10">
        <v>61.03</v>
      </c>
      <c r="AC62" s="94">
        <v>1821400</v>
      </c>
      <c r="AD62" s="10">
        <v>60.56</v>
      </c>
      <c r="AE62" s="2">
        <f t="shared" si="0"/>
        <v>0.5800000000000054</v>
      </c>
      <c r="AF62" s="137">
        <f t="shared" si="1"/>
        <v>-1.6485328058027937E-3</v>
      </c>
    </row>
    <row r="63" spans="1:32" x14ac:dyDescent="0.25">
      <c r="X63" s="132">
        <v>42709</v>
      </c>
      <c r="Y63" s="10">
        <v>61</v>
      </c>
      <c r="Z63" s="10">
        <v>61.16</v>
      </c>
      <c r="AA63" s="10">
        <v>60.83</v>
      </c>
      <c r="AB63" s="10">
        <v>61.13</v>
      </c>
      <c r="AC63" s="94">
        <v>2133000</v>
      </c>
      <c r="AD63" s="10">
        <v>60.66</v>
      </c>
      <c r="AE63" s="2">
        <f t="shared" si="0"/>
        <v>0.32999999999999829</v>
      </c>
      <c r="AF63" s="137">
        <f t="shared" si="1"/>
        <v>3.1420539110302848E-3</v>
      </c>
    </row>
    <row r="64" spans="1:32" x14ac:dyDescent="0.25">
      <c r="X64" s="132">
        <v>42706</v>
      </c>
      <c r="Y64" s="10">
        <v>60.79</v>
      </c>
      <c r="Z64" s="10">
        <v>61.19</v>
      </c>
      <c r="AA64" s="10">
        <v>60.58</v>
      </c>
      <c r="AB64" s="10">
        <v>60.94</v>
      </c>
      <c r="AC64" s="94">
        <v>2349200</v>
      </c>
      <c r="AD64" s="10">
        <v>60.47</v>
      </c>
      <c r="AE64" s="2">
        <f t="shared" si="0"/>
        <v>0.60999999999999943</v>
      </c>
      <c r="AF64" s="137">
        <f t="shared" si="1"/>
        <v>5.8216899534264677E-3</v>
      </c>
    </row>
    <row r="65" spans="24:32" x14ac:dyDescent="0.25">
      <c r="X65" s="132">
        <v>42705</v>
      </c>
      <c r="Y65" s="10">
        <v>60.92</v>
      </c>
      <c r="Z65" s="10">
        <v>60.92</v>
      </c>
      <c r="AA65" s="10">
        <v>60.37</v>
      </c>
      <c r="AB65" s="10">
        <v>60.59</v>
      </c>
      <c r="AC65" s="94">
        <v>3215100</v>
      </c>
      <c r="AD65" s="10">
        <v>60.12</v>
      </c>
      <c r="AE65" s="2">
        <f t="shared" si="0"/>
        <v>0.55000000000000426</v>
      </c>
      <c r="AF65" s="137">
        <f t="shared" si="1"/>
        <v>-5.7879940466347701E-3</v>
      </c>
    </row>
    <row r="66" spans="24:32" x14ac:dyDescent="0.25">
      <c r="X66" s="132">
        <v>42704</v>
      </c>
      <c r="Y66" s="10">
        <v>62.33</v>
      </c>
      <c r="Z66" s="10">
        <v>62.4</v>
      </c>
      <c r="AA66" s="10">
        <v>60.91</v>
      </c>
      <c r="AB66" s="10">
        <v>60.94</v>
      </c>
      <c r="AC66" s="94">
        <v>5940000</v>
      </c>
      <c r="AD66" s="10">
        <v>60.47</v>
      </c>
      <c r="AE66" s="2">
        <f t="shared" si="0"/>
        <v>1.490000000000002</v>
      </c>
      <c r="AF66" s="137">
        <f t="shared" si="1"/>
        <v>-2.7500804117079447E-2</v>
      </c>
    </row>
    <row r="67" spans="24:32" x14ac:dyDescent="0.25">
      <c r="X67" s="132">
        <v>42703</v>
      </c>
      <c r="Y67" s="10">
        <v>62.25</v>
      </c>
      <c r="Z67" s="10">
        <v>62.81</v>
      </c>
      <c r="AA67" s="10">
        <v>61.79</v>
      </c>
      <c r="AB67" s="10">
        <v>62.66</v>
      </c>
      <c r="AC67" s="94">
        <v>3143600</v>
      </c>
      <c r="AD67" s="10">
        <v>62.18</v>
      </c>
      <c r="AE67" s="2">
        <f>Z67-AA67</f>
        <v>1.0200000000000031</v>
      </c>
      <c r="AF67" s="137">
        <f>AD67/AD68-1</f>
        <v>9.4155844155843216E-3</v>
      </c>
    </row>
    <row r="68" spans="24:32" x14ac:dyDescent="0.25">
      <c r="X68" s="132">
        <v>42702</v>
      </c>
      <c r="Y68" s="10">
        <v>62.12</v>
      </c>
      <c r="Z68" s="10">
        <v>62.38</v>
      </c>
      <c r="AA68" s="10">
        <v>61.88</v>
      </c>
      <c r="AB68" s="10">
        <v>62.08</v>
      </c>
      <c r="AC68" s="94">
        <v>2206300</v>
      </c>
      <c r="AD68" s="10">
        <v>61.6</v>
      </c>
      <c r="AE68" s="2">
        <f>Z68-AA68</f>
        <v>0.5</v>
      </c>
      <c r="AF68" s="137" t="e">
        <f>AD68/AD69-1</f>
        <v>#DIV/0!</v>
      </c>
    </row>
    <row r="69" spans="24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7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59" priority="9">
      <formula>F22&gt;0</formula>
    </cfRule>
    <cfRule type="expression" dxfId="58" priority="10">
      <formula>F22&lt;0</formula>
    </cfRule>
  </conditionalFormatting>
  <conditionalFormatting sqref="H22:H39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3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2"/>
      <c r="W2" s="132">
        <v>42797</v>
      </c>
      <c r="X2" s="10">
        <v>37.76</v>
      </c>
      <c r="Y2" s="10">
        <v>38.369999999999997</v>
      </c>
      <c r="Z2" s="10">
        <v>37.58</v>
      </c>
      <c r="AA2" s="10">
        <v>38.229999999999997</v>
      </c>
      <c r="AB2" s="94">
        <v>19455500</v>
      </c>
      <c r="AC2" s="10">
        <v>38.229999999999997</v>
      </c>
      <c r="AD2" s="2">
        <f>Y2-Z2</f>
        <v>0.78999999999999915</v>
      </c>
      <c r="AE2" s="137">
        <f>AC2/AC3-1</f>
        <v>1.2447033898305149E-2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36.83</v>
      </c>
      <c r="W3" s="132">
        <v>42796</v>
      </c>
      <c r="X3" s="10">
        <v>37.369999999999997</v>
      </c>
      <c r="Y3" s="10">
        <v>38.1</v>
      </c>
      <c r="Z3" s="10">
        <v>37.25</v>
      </c>
      <c r="AA3" s="10">
        <v>37.76</v>
      </c>
      <c r="AB3" s="94">
        <v>14907100</v>
      </c>
      <c r="AC3" s="10">
        <v>37.76</v>
      </c>
      <c r="AD3" s="2">
        <f t="shared" ref="AD3:AD66" si="0">Y3-Z3</f>
        <v>0.85000000000000142</v>
      </c>
      <c r="AE3" s="137">
        <f t="shared" ref="AE3:AE66" si="1">AC3/AC4-1</f>
        <v>8.816457387122556E-3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36.83</v>
      </c>
      <c r="R4" s="499">
        <v>0</v>
      </c>
      <c r="W4" s="132">
        <v>42795</v>
      </c>
      <c r="X4" s="10">
        <v>37.200000000000003</v>
      </c>
      <c r="Y4" s="10">
        <v>37.75</v>
      </c>
      <c r="Z4" s="10">
        <v>37.18</v>
      </c>
      <c r="AA4" s="10">
        <v>37.43</v>
      </c>
      <c r="AB4" s="94">
        <v>10656700</v>
      </c>
      <c r="AC4" s="10">
        <v>37.43</v>
      </c>
      <c r="AD4" s="2">
        <f t="shared" si="0"/>
        <v>0.57000000000000028</v>
      </c>
      <c r="AE4" s="137">
        <f t="shared" si="1"/>
        <v>1.601520086862096E-2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42794</v>
      </c>
      <c r="X5" s="10">
        <v>37.15</v>
      </c>
      <c r="Y5" s="10">
        <v>37.22</v>
      </c>
      <c r="Z5" s="10">
        <v>36.549999999999997</v>
      </c>
      <c r="AA5" s="10">
        <v>36.840000000000003</v>
      </c>
      <c r="AB5" s="94">
        <v>10425100</v>
      </c>
      <c r="AC5" s="10">
        <v>36.840000000000003</v>
      </c>
      <c r="AD5" s="2">
        <f t="shared" si="0"/>
        <v>0.67000000000000171</v>
      </c>
      <c r="AE5" s="137">
        <f t="shared" si="1"/>
        <v>-1.1537429568017177E-2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42793</v>
      </c>
      <c r="X6" s="10">
        <v>36.92</v>
      </c>
      <c r="Y6" s="10">
        <v>37.36</v>
      </c>
      <c r="Z6" s="10">
        <v>36.86</v>
      </c>
      <c r="AA6" s="10">
        <v>37.270000000000003</v>
      </c>
      <c r="AB6" s="94">
        <v>10090100</v>
      </c>
      <c r="AC6" s="10">
        <v>37.270000000000003</v>
      </c>
      <c r="AD6" s="2">
        <f t="shared" si="0"/>
        <v>0.5</v>
      </c>
      <c r="AE6" s="137">
        <f t="shared" si="1"/>
        <v>1.0027100271002842E-2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42790</v>
      </c>
      <c r="X7" s="10">
        <v>36.869999999999997</v>
      </c>
      <c r="Y7" s="10">
        <v>37.19</v>
      </c>
      <c r="Z7" s="10">
        <v>36.57</v>
      </c>
      <c r="AA7" s="10">
        <v>36.9</v>
      </c>
      <c r="AB7" s="94">
        <v>13017400</v>
      </c>
      <c r="AC7" s="10">
        <v>36.9</v>
      </c>
      <c r="AD7" s="2">
        <f t="shared" si="0"/>
        <v>0.61999999999999744</v>
      </c>
      <c r="AE7" s="137">
        <f t="shared" si="1"/>
        <v>-9.3959731543624692E-3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37.94</v>
      </c>
      <c r="Y8" s="10">
        <v>38.07</v>
      </c>
      <c r="Z8" s="10">
        <v>37.19</v>
      </c>
      <c r="AA8" s="10">
        <v>37.25</v>
      </c>
      <c r="AB8" s="94">
        <v>13139500</v>
      </c>
      <c r="AC8" s="10">
        <v>37.25</v>
      </c>
      <c r="AD8" s="2">
        <f t="shared" si="0"/>
        <v>0.88000000000000256</v>
      </c>
      <c r="AE8" s="137">
        <f t="shared" si="1"/>
        <v>-1.559196617336156E-2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37.89</v>
      </c>
      <c r="Y9" s="10">
        <v>38.1</v>
      </c>
      <c r="Z9" s="10">
        <v>37.799999999999997</v>
      </c>
      <c r="AA9" s="10">
        <v>37.840000000000003</v>
      </c>
      <c r="AB9" s="94">
        <v>8977800</v>
      </c>
      <c r="AC9" s="10">
        <v>37.840000000000003</v>
      </c>
      <c r="AD9" s="2">
        <f t="shared" si="0"/>
        <v>0.30000000000000426</v>
      </c>
      <c r="AE9" s="137">
        <f t="shared" si="1"/>
        <v>7.9344088865385132E-4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42787</v>
      </c>
      <c r="X10" s="10">
        <v>37.6</v>
      </c>
      <c r="Y10" s="10">
        <v>38.1</v>
      </c>
      <c r="Z10" s="10">
        <v>37.42</v>
      </c>
      <c r="AA10" s="10">
        <v>37.81</v>
      </c>
      <c r="AB10" s="94">
        <v>14163900</v>
      </c>
      <c r="AC10" s="10">
        <v>37.81</v>
      </c>
      <c r="AD10" s="2">
        <f t="shared" si="0"/>
        <v>0.67999999999999972</v>
      </c>
      <c r="AE10" s="137">
        <f t="shared" si="1"/>
        <v>1.5851692638366499E-2</v>
      </c>
    </row>
    <row r="11" spans="1:31" x14ac:dyDescent="0.25">
      <c r="O11" s="11" t="s">
        <v>178</v>
      </c>
      <c r="P11" s="34"/>
      <c r="Q11" s="137">
        <f>VALUE(TRIM(CLEAN(MID(U58, FIND("(", U58)+1, 5))))</f>
        <v>4.0300000000000002E-2</v>
      </c>
      <c r="W11" s="132">
        <v>42783</v>
      </c>
      <c r="X11" s="10">
        <v>36.79</v>
      </c>
      <c r="Y11" s="10">
        <v>37.9</v>
      </c>
      <c r="Z11" s="10">
        <v>36.409999999999997</v>
      </c>
      <c r="AA11" s="10">
        <v>37.22</v>
      </c>
      <c r="AB11" s="94">
        <v>15739300</v>
      </c>
      <c r="AC11" s="10">
        <v>37.22</v>
      </c>
      <c r="AD11" s="2">
        <f t="shared" si="0"/>
        <v>1.490000000000002</v>
      </c>
      <c r="AE11" s="137">
        <f t="shared" si="1"/>
        <v>5.1309748852281789E-3</v>
      </c>
    </row>
    <row r="12" spans="1:31" x14ac:dyDescent="0.25">
      <c r="W12" s="132">
        <v>42782</v>
      </c>
      <c r="X12" s="10">
        <v>37.11</v>
      </c>
      <c r="Y12" s="10">
        <v>37.159999999999997</v>
      </c>
      <c r="Z12" s="10">
        <v>36.82</v>
      </c>
      <c r="AA12" s="10">
        <v>37.03</v>
      </c>
      <c r="AB12" s="94">
        <v>9329500</v>
      </c>
      <c r="AC12" s="10">
        <v>37.03</v>
      </c>
      <c r="AD12" s="2">
        <f t="shared" si="0"/>
        <v>0.33999999999999631</v>
      </c>
      <c r="AE12" s="137">
        <f t="shared" si="1"/>
        <v>-1.3484358144552067E-3</v>
      </c>
    </row>
    <row r="13" spans="1:31" x14ac:dyDescent="0.25">
      <c r="W13" s="132">
        <v>42781</v>
      </c>
      <c r="X13" s="10">
        <v>36.950000000000003</v>
      </c>
      <c r="Y13" s="10">
        <v>37.11</v>
      </c>
      <c r="Z13" s="10">
        <v>36.6</v>
      </c>
      <c r="AA13" s="10">
        <v>37.08</v>
      </c>
      <c r="AB13" s="94">
        <v>15638600</v>
      </c>
      <c r="AC13" s="10">
        <v>37.08</v>
      </c>
      <c r="AD13" s="2">
        <f t="shared" si="0"/>
        <v>0.50999999999999801</v>
      </c>
      <c r="AE13" s="137">
        <f t="shared" si="1"/>
        <v>-4.2964554242750363E-3</v>
      </c>
    </row>
    <row r="14" spans="1:31" x14ac:dyDescent="0.25">
      <c r="W14" s="132">
        <v>42780</v>
      </c>
      <c r="X14" s="10">
        <v>36.72</v>
      </c>
      <c r="Y14" s="10">
        <v>37.4</v>
      </c>
      <c r="Z14" s="10">
        <v>36.67</v>
      </c>
      <c r="AA14" s="10">
        <v>37.24</v>
      </c>
      <c r="AB14" s="94">
        <v>31219600</v>
      </c>
      <c r="AC14" s="10">
        <v>37.24</v>
      </c>
      <c r="AD14" s="2">
        <f t="shared" si="0"/>
        <v>0.72999999999999687</v>
      </c>
      <c r="AE14" s="137">
        <f t="shared" si="1"/>
        <v>4.8423423423423317E-2</v>
      </c>
    </row>
    <row r="15" spans="1:31" x14ac:dyDescent="0.25">
      <c r="W15" s="132">
        <v>42779</v>
      </c>
      <c r="X15" s="10">
        <v>35.380000000000003</v>
      </c>
      <c r="Y15" s="10">
        <v>35.54</v>
      </c>
      <c r="Z15" s="10">
        <v>35.18</v>
      </c>
      <c r="AA15" s="10">
        <v>35.520000000000003</v>
      </c>
      <c r="AB15" s="94">
        <v>10123500</v>
      </c>
      <c r="AC15" s="10">
        <v>35.520000000000003</v>
      </c>
      <c r="AD15" s="2">
        <f t="shared" si="0"/>
        <v>0.35999999999999943</v>
      </c>
      <c r="AE15" s="137">
        <f t="shared" si="1"/>
        <v>9.9516633494456386E-3</v>
      </c>
    </row>
    <row r="16" spans="1:31" x14ac:dyDescent="0.25">
      <c r="W16" s="132">
        <v>42776</v>
      </c>
      <c r="X16" s="10">
        <v>35.21</v>
      </c>
      <c r="Y16" s="10">
        <v>35.32</v>
      </c>
      <c r="Z16" s="10">
        <v>35.08</v>
      </c>
      <c r="AA16" s="10">
        <v>35.17</v>
      </c>
      <c r="AB16" s="94">
        <v>10317800</v>
      </c>
      <c r="AC16" s="10">
        <v>35.17</v>
      </c>
      <c r="AD16" s="2">
        <f t="shared" si="0"/>
        <v>0.24000000000000199</v>
      </c>
      <c r="AE16" s="137">
        <f t="shared" si="1"/>
        <v>2.5655644241733278E-3</v>
      </c>
    </row>
    <row r="17" spans="1:31" x14ac:dyDescent="0.25">
      <c r="W17" s="132">
        <v>42775</v>
      </c>
      <c r="X17" s="10">
        <v>35.14</v>
      </c>
      <c r="Y17" s="10">
        <v>35.4</v>
      </c>
      <c r="Z17" s="10">
        <v>35.020000000000003</v>
      </c>
      <c r="AA17" s="10">
        <v>35.08</v>
      </c>
      <c r="AB17" s="94">
        <v>14823300</v>
      </c>
      <c r="AC17" s="10">
        <v>35.08</v>
      </c>
      <c r="AD17" s="2">
        <f t="shared" si="0"/>
        <v>0.37999999999999545</v>
      </c>
      <c r="AE17" s="137">
        <f t="shared" si="1"/>
        <v>-1.7074558907228532E-3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42774</v>
      </c>
      <c r="X18" s="10">
        <v>35.200000000000003</v>
      </c>
      <c r="Y18" s="10">
        <v>35.33</v>
      </c>
      <c r="Z18" s="10">
        <v>34.72</v>
      </c>
      <c r="AA18" s="10">
        <v>35.14</v>
      </c>
      <c r="AB18" s="94">
        <v>16095400</v>
      </c>
      <c r="AC18" s="10">
        <v>35.14</v>
      </c>
      <c r="AD18" s="2">
        <f t="shared" si="0"/>
        <v>0.60999999999999943</v>
      </c>
      <c r="AE18" s="137">
        <f t="shared" si="1"/>
        <v>1.1396011396012096E-3</v>
      </c>
    </row>
    <row r="19" spans="1:31" x14ac:dyDescent="0.25">
      <c r="W19" s="132">
        <v>42773</v>
      </c>
      <c r="X19" s="10">
        <v>35.75</v>
      </c>
      <c r="Y19" s="10">
        <v>35.96</v>
      </c>
      <c r="Z19" s="10">
        <v>34.799999999999997</v>
      </c>
      <c r="AA19" s="10">
        <v>35.1</v>
      </c>
      <c r="AB19" s="94">
        <v>39257700</v>
      </c>
      <c r="AC19" s="10">
        <v>35.1</v>
      </c>
      <c r="AD19" s="2">
        <f t="shared" si="0"/>
        <v>1.1600000000000037</v>
      </c>
      <c r="AE19" s="137">
        <f t="shared" si="1"/>
        <v>-4.6972576703773972E-2</v>
      </c>
    </row>
    <row r="20" spans="1:31" x14ac:dyDescent="0.25">
      <c r="W20" s="132">
        <v>42772</v>
      </c>
      <c r="X20" s="10">
        <v>36.409999999999997</v>
      </c>
      <c r="Y20" s="10">
        <v>36.83</v>
      </c>
      <c r="Z20" s="10">
        <v>36.26</v>
      </c>
      <c r="AA20" s="10">
        <v>36.83</v>
      </c>
      <c r="AB20" s="94">
        <v>13747600</v>
      </c>
      <c r="AC20" s="10">
        <v>36.83</v>
      </c>
      <c r="AD20" s="2">
        <f t="shared" si="0"/>
        <v>0.57000000000000028</v>
      </c>
      <c r="AE20" s="137">
        <f t="shared" si="1"/>
        <v>1.37627305257364E-2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42769</v>
      </c>
      <c r="X21" s="10">
        <v>35.92</v>
      </c>
      <c r="Y21" s="10">
        <v>36.33</v>
      </c>
      <c r="Z21" s="10">
        <v>35.68</v>
      </c>
      <c r="AA21" s="10">
        <v>36.33</v>
      </c>
      <c r="AB21" s="94">
        <v>13947300</v>
      </c>
      <c r="AC21" s="10">
        <v>36.33</v>
      </c>
      <c r="AD21" s="2">
        <f t="shared" si="0"/>
        <v>0.64999999999999858</v>
      </c>
      <c r="AE21" s="137">
        <f t="shared" si="1"/>
        <v>1.6792611251049472E-2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42768</v>
      </c>
      <c r="X22" s="10">
        <v>36.08</v>
      </c>
      <c r="Y22" s="10">
        <v>36.14</v>
      </c>
      <c r="Z22" s="10">
        <v>35.47</v>
      </c>
      <c r="AA22" s="10">
        <v>35.729999999999997</v>
      </c>
      <c r="AB22" s="94">
        <v>11628000</v>
      </c>
      <c r="AC22" s="10">
        <v>35.729999999999997</v>
      </c>
      <c r="AD22" s="2">
        <f t="shared" si="0"/>
        <v>0.67000000000000171</v>
      </c>
      <c r="AE22" s="137">
        <f t="shared" si="1"/>
        <v>-1.1344770337576193E-2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42767</v>
      </c>
      <c r="X23" s="10">
        <v>36.68</v>
      </c>
      <c r="Y23" s="10">
        <v>37.11</v>
      </c>
      <c r="Z23" s="10">
        <v>35.86</v>
      </c>
      <c r="AA23" s="10">
        <v>36.14</v>
      </c>
      <c r="AB23" s="94">
        <v>13715000</v>
      </c>
      <c r="AC23" s="10">
        <v>36.14</v>
      </c>
      <c r="AD23" s="2">
        <f t="shared" si="0"/>
        <v>1.25</v>
      </c>
      <c r="AE23" s="137">
        <f t="shared" si="1"/>
        <v>-1.2838022398251825E-2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42766</v>
      </c>
      <c r="X24" s="10">
        <v>36.25</v>
      </c>
      <c r="Y24" s="10">
        <v>36.65</v>
      </c>
      <c r="Z24" s="10">
        <v>36.119999999999997</v>
      </c>
      <c r="AA24" s="10">
        <v>36.61</v>
      </c>
      <c r="AB24" s="94">
        <v>10647800</v>
      </c>
      <c r="AC24" s="10">
        <v>36.61</v>
      </c>
      <c r="AD24" s="2">
        <f t="shared" si="0"/>
        <v>0.53000000000000114</v>
      </c>
      <c r="AE24" s="137">
        <f t="shared" si="1"/>
        <v>7.7071290944124016E-3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42765</v>
      </c>
      <c r="X25" s="10">
        <v>36.840000000000003</v>
      </c>
      <c r="Y25" s="10">
        <v>36.9</v>
      </c>
      <c r="Z25" s="10">
        <v>36.130000000000003</v>
      </c>
      <c r="AA25" s="10">
        <v>36.33</v>
      </c>
      <c r="AB25" s="94">
        <v>11721500</v>
      </c>
      <c r="AC25" s="10">
        <v>36.33</v>
      </c>
      <c r="AD25" s="2">
        <f t="shared" si="0"/>
        <v>0.76999999999999602</v>
      </c>
      <c r="AE25" s="137">
        <f t="shared" si="1"/>
        <v>-1.8373412591191518E-2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42762</v>
      </c>
      <c r="X26" s="10">
        <v>37.520000000000003</v>
      </c>
      <c r="Y26" s="10">
        <v>37.590000000000003</v>
      </c>
      <c r="Z26" s="10">
        <v>36.880000000000003</v>
      </c>
      <c r="AA26" s="10">
        <v>37.01</v>
      </c>
      <c r="AB26" s="94">
        <v>10177100</v>
      </c>
      <c r="AC26" s="10">
        <v>37.01</v>
      </c>
      <c r="AD26" s="2">
        <f t="shared" si="0"/>
        <v>0.71000000000000085</v>
      </c>
      <c r="AE26" s="137">
        <f t="shared" si="1"/>
        <v>-1.3592750533049203E-2</v>
      </c>
    </row>
    <row r="27" spans="1:31" x14ac:dyDescent="0.25">
      <c r="W27" s="132">
        <v>42761</v>
      </c>
      <c r="X27" s="10">
        <v>38.1</v>
      </c>
      <c r="Y27" s="10">
        <v>38.25</v>
      </c>
      <c r="Z27" s="10">
        <v>37.369999999999997</v>
      </c>
      <c r="AA27" s="10">
        <v>37.520000000000003</v>
      </c>
      <c r="AB27" s="94">
        <v>10740800</v>
      </c>
      <c r="AC27" s="10">
        <v>37.520000000000003</v>
      </c>
      <c r="AD27" s="2">
        <f t="shared" si="0"/>
        <v>0.88000000000000256</v>
      </c>
      <c r="AE27" s="137">
        <f t="shared" si="1"/>
        <v>-1.9853709508881878E-2</v>
      </c>
    </row>
    <row r="28" spans="1:31" x14ac:dyDescent="0.25">
      <c r="W28" s="132">
        <v>42760</v>
      </c>
      <c r="X28" s="10">
        <v>37.71</v>
      </c>
      <c r="Y28" s="10">
        <v>38.380000000000003</v>
      </c>
      <c r="Z28" s="10">
        <v>37.6</v>
      </c>
      <c r="AA28" s="10">
        <v>38.28</v>
      </c>
      <c r="AB28" s="94">
        <v>20584600</v>
      </c>
      <c r="AC28" s="10">
        <v>38.28</v>
      </c>
      <c r="AD28" s="2">
        <f t="shared" si="0"/>
        <v>0.78000000000000114</v>
      </c>
      <c r="AE28" s="137">
        <f t="shared" si="1"/>
        <v>3.4594594594594685E-2</v>
      </c>
    </row>
    <row r="29" spans="1:31" x14ac:dyDescent="0.25">
      <c r="L29" t="s">
        <v>212</v>
      </c>
      <c r="M29" s="2">
        <f>M47+K47-F47</f>
        <v>36.819999999999709</v>
      </c>
      <c r="W29" s="132">
        <v>42759</v>
      </c>
      <c r="X29" s="10">
        <v>36.700000000000003</v>
      </c>
      <c r="Y29" s="10">
        <v>37.24</v>
      </c>
      <c r="Z29" s="10">
        <v>36.68</v>
      </c>
      <c r="AA29" s="10">
        <v>37</v>
      </c>
      <c r="AB29" s="94">
        <v>11579600</v>
      </c>
      <c r="AC29" s="10">
        <v>37</v>
      </c>
      <c r="AD29" s="2">
        <f t="shared" si="0"/>
        <v>0.56000000000000227</v>
      </c>
      <c r="AE29" s="137">
        <f t="shared" si="1"/>
        <v>9.5497953615280018E-3</v>
      </c>
    </row>
    <row r="30" spans="1:31" x14ac:dyDescent="0.25">
      <c r="A30" s="384" t="s">
        <v>1</v>
      </c>
      <c r="B30" s="384" t="s">
        <v>2</v>
      </c>
      <c r="C30" s="384" t="s">
        <v>4</v>
      </c>
      <c r="D30" s="386" t="s">
        <v>5</v>
      </c>
      <c r="E30" s="386"/>
      <c r="F30" s="386" t="s">
        <v>60</v>
      </c>
      <c r="G30" s="384" t="s">
        <v>3</v>
      </c>
      <c r="H30" s="384" t="s">
        <v>6</v>
      </c>
      <c r="I30" s="384" t="s">
        <v>7</v>
      </c>
      <c r="J30" s="384"/>
      <c r="K30" s="384" t="s">
        <v>61</v>
      </c>
      <c r="L30" s="384" t="s">
        <v>77</v>
      </c>
      <c r="M30" s="384" t="s">
        <v>38</v>
      </c>
      <c r="W30" s="132">
        <v>42758</v>
      </c>
      <c r="X30" s="10">
        <v>37.01</v>
      </c>
      <c r="Y30" s="10">
        <v>37.130000000000003</v>
      </c>
      <c r="Z30" s="10">
        <v>36.380000000000003</v>
      </c>
      <c r="AA30" s="10">
        <v>36.65</v>
      </c>
      <c r="AB30" s="94">
        <v>11469600</v>
      </c>
      <c r="AC30" s="10">
        <v>36.65</v>
      </c>
      <c r="AD30" s="2">
        <f t="shared" si="0"/>
        <v>0.75</v>
      </c>
      <c r="AE30" s="137">
        <f t="shared" si="1"/>
        <v>-9.7271007835719736E-3</v>
      </c>
    </row>
    <row r="31" spans="1:31" x14ac:dyDescent="0.25">
      <c r="A31" s="387" t="s">
        <v>56</v>
      </c>
      <c r="B31" s="716">
        <v>42220</v>
      </c>
      <c r="C31" s="378">
        <v>40</v>
      </c>
      <c r="D31" s="379">
        <v>31.78</v>
      </c>
      <c r="E31" s="379"/>
      <c r="F31" s="379">
        <f>C31*D31</f>
        <v>1271.2</v>
      </c>
      <c r="G31" s="377">
        <v>42235</v>
      </c>
      <c r="H31" s="378">
        <v>100</v>
      </c>
      <c r="I31" s="379">
        <v>31.5</v>
      </c>
      <c r="J31" s="378">
        <v>0.06</v>
      </c>
      <c r="K31" s="378">
        <f>H31*I31-J31</f>
        <v>3149.94</v>
      </c>
      <c r="L31" s="377">
        <v>42276</v>
      </c>
      <c r="M31" s="379">
        <v>14.4</v>
      </c>
      <c r="W31" s="132">
        <v>42755</v>
      </c>
      <c r="X31" s="10">
        <v>37.42</v>
      </c>
      <c r="Y31" s="10">
        <v>37.42</v>
      </c>
      <c r="Z31" s="10">
        <v>36.76</v>
      </c>
      <c r="AA31" s="10">
        <v>37.01</v>
      </c>
      <c r="AB31" s="94">
        <v>13631600</v>
      </c>
      <c r="AC31" s="10">
        <v>37.01</v>
      </c>
      <c r="AD31" s="2">
        <f t="shared" si="0"/>
        <v>0.66000000000000369</v>
      </c>
      <c r="AE31" s="137">
        <f t="shared" si="1"/>
        <v>-7.7747989276139018E-3</v>
      </c>
    </row>
    <row r="32" spans="1:31" x14ac:dyDescent="0.25">
      <c r="A32" s="388" t="s">
        <v>71</v>
      </c>
      <c r="B32" s="716"/>
      <c r="C32" s="378">
        <v>60</v>
      </c>
      <c r="D32" s="379">
        <v>31.78</v>
      </c>
      <c r="E32" s="379"/>
      <c r="F32" s="379">
        <f>C32*D32</f>
        <v>1906.8000000000002</v>
      </c>
      <c r="G32" s="377">
        <v>42284</v>
      </c>
      <c r="H32" s="378">
        <v>40</v>
      </c>
      <c r="I32" s="378">
        <v>31.55</v>
      </c>
      <c r="J32" s="378">
        <v>0.02</v>
      </c>
      <c r="K32" s="378">
        <f>H32*I32-J32</f>
        <v>1261.98</v>
      </c>
      <c r="L32" s="378"/>
      <c r="M32" s="378"/>
      <c r="W32" s="132">
        <v>42754</v>
      </c>
      <c r="X32" s="10">
        <v>37.630000000000003</v>
      </c>
      <c r="Y32" s="10">
        <v>37.840000000000003</v>
      </c>
      <c r="Z32" s="10">
        <v>37.159999999999997</v>
      </c>
      <c r="AA32" s="10">
        <v>37.299999999999997</v>
      </c>
      <c r="AB32" s="94">
        <v>8181700</v>
      </c>
      <c r="AC32" s="10">
        <v>37.299999999999997</v>
      </c>
      <c r="AD32" s="2">
        <f t="shared" si="0"/>
        <v>0.68000000000000682</v>
      </c>
      <c r="AE32" s="137">
        <f t="shared" si="1"/>
        <v>-4.5369629036563497E-3</v>
      </c>
    </row>
    <row r="33" spans="1:31" x14ac:dyDescent="0.25">
      <c r="A33" s="378"/>
      <c r="B33" s="377">
        <v>42221</v>
      </c>
      <c r="C33" s="378">
        <v>10</v>
      </c>
      <c r="D33" s="379">
        <v>31.45</v>
      </c>
      <c r="E33" s="379"/>
      <c r="F33" s="379">
        <f>C33*D33</f>
        <v>314.5</v>
      </c>
      <c r="G33" s="378"/>
      <c r="H33" s="378"/>
      <c r="I33" s="378"/>
      <c r="J33" s="378"/>
      <c r="K33" s="378"/>
      <c r="L33" s="378"/>
      <c r="M33" s="378"/>
      <c r="W33" s="132">
        <v>42753</v>
      </c>
      <c r="X33" s="10">
        <v>37.450000000000003</v>
      </c>
      <c r="Y33" s="10">
        <v>37.58</v>
      </c>
      <c r="Z33" s="10">
        <v>37.119999999999997</v>
      </c>
      <c r="AA33" s="10">
        <v>37.47</v>
      </c>
      <c r="AB33" s="94">
        <v>10874200</v>
      </c>
      <c r="AC33" s="10">
        <v>37.47</v>
      </c>
      <c r="AD33" s="2">
        <f t="shared" si="0"/>
        <v>0.46000000000000085</v>
      </c>
      <c r="AE33" s="137">
        <f t="shared" si="1"/>
        <v>4.2883945322969019E-3</v>
      </c>
    </row>
    <row r="34" spans="1:31" x14ac:dyDescent="0.25">
      <c r="A34" s="378"/>
      <c r="B34" s="377">
        <v>42233</v>
      </c>
      <c r="C34" s="378">
        <v>30</v>
      </c>
      <c r="D34" s="379">
        <v>29.9</v>
      </c>
      <c r="E34" s="379"/>
      <c r="F34" s="379">
        <f>C34*D34</f>
        <v>897</v>
      </c>
      <c r="G34" s="378"/>
      <c r="H34" s="378"/>
      <c r="I34" s="378"/>
      <c r="J34" s="378"/>
      <c r="K34" s="378"/>
      <c r="L34" s="378"/>
      <c r="M34" s="378"/>
      <c r="W34" s="132">
        <v>42752</v>
      </c>
      <c r="X34" s="10">
        <v>37.340000000000003</v>
      </c>
      <c r="Y34" s="10">
        <v>37.69</v>
      </c>
      <c r="Z34" s="10">
        <v>37.17</v>
      </c>
      <c r="AA34" s="10">
        <v>37.31</v>
      </c>
      <c r="AB34" s="94">
        <v>8219700</v>
      </c>
      <c r="AC34" s="10">
        <v>37.31</v>
      </c>
      <c r="AD34" s="2">
        <f t="shared" si="0"/>
        <v>0.51999999999999602</v>
      </c>
      <c r="AE34" s="137">
        <f t="shared" si="1"/>
        <v>-8.0342795929300159E-4</v>
      </c>
    </row>
    <row r="35" spans="1:31" x14ac:dyDescent="0.25">
      <c r="A35" s="378"/>
      <c r="B35" s="378"/>
      <c r="C35" s="378"/>
      <c r="D35" s="379"/>
      <c r="E35" s="379"/>
      <c r="F35" s="379"/>
      <c r="G35" s="378"/>
      <c r="H35" s="378"/>
      <c r="I35" s="378"/>
      <c r="J35" s="378"/>
      <c r="K35" s="378"/>
      <c r="L35" s="378"/>
      <c r="M35" s="378"/>
      <c r="W35" s="132">
        <v>42748</v>
      </c>
      <c r="X35" s="10">
        <v>37.549999999999997</v>
      </c>
      <c r="Y35" s="10">
        <v>37.770000000000003</v>
      </c>
      <c r="Z35" s="10">
        <v>37.15</v>
      </c>
      <c r="AA35" s="10">
        <v>37.340000000000003</v>
      </c>
      <c r="AB35" s="94">
        <v>8711000</v>
      </c>
      <c r="AC35" s="10">
        <v>37.340000000000003</v>
      </c>
      <c r="AD35" s="2">
        <f t="shared" si="0"/>
        <v>0.62000000000000455</v>
      </c>
      <c r="AE35" s="137">
        <f t="shared" si="1"/>
        <v>-4.5321247667287068E-3</v>
      </c>
    </row>
    <row r="36" spans="1:31" x14ac:dyDescent="0.25">
      <c r="A36" s="378"/>
      <c r="B36" s="378"/>
      <c r="C36" s="378"/>
      <c r="D36" s="379"/>
      <c r="E36" s="379"/>
      <c r="F36" s="379"/>
      <c r="G36" s="378"/>
      <c r="H36" s="378"/>
      <c r="I36" s="378"/>
      <c r="J36" s="378"/>
      <c r="K36" s="378"/>
      <c r="L36" s="378"/>
      <c r="M36" s="378"/>
      <c r="W36" s="132">
        <v>42747</v>
      </c>
      <c r="X36" s="10">
        <v>38</v>
      </c>
      <c r="Y36" s="10">
        <v>38.15</v>
      </c>
      <c r="Z36" s="10">
        <v>37.06</v>
      </c>
      <c r="AA36" s="10">
        <v>37.51</v>
      </c>
      <c r="AB36" s="94">
        <v>16825900</v>
      </c>
      <c r="AC36" s="10">
        <v>37.51</v>
      </c>
      <c r="AD36" s="2">
        <f t="shared" si="0"/>
        <v>1.0899999999999963</v>
      </c>
      <c r="AE36" s="137">
        <f t="shared" si="1"/>
        <v>-1.1594202898550843E-2</v>
      </c>
    </row>
    <row r="37" spans="1:31" x14ac:dyDescent="0.25">
      <c r="A37" s="378"/>
      <c r="B37" s="378"/>
      <c r="C37" s="378"/>
      <c r="D37" s="379"/>
      <c r="E37" s="379"/>
      <c r="F37" s="379"/>
      <c r="G37" s="378"/>
      <c r="H37" s="378"/>
      <c r="I37" s="378"/>
      <c r="J37" s="378"/>
      <c r="K37" s="378"/>
      <c r="L37" s="378"/>
      <c r="M37" s="378"/>
      <c r="W37" s="132">
        <v>42746</v>
      </c>
      <c r="X37" s="10">
        <v>37.54</v>
      </c>
      <c r="Y37" s="10">
        <v>38.11</v>
      </c>
      <c r="Z37" s="10">
        <v>37.22</v>
      </c>
      <c r="AA37" s="10">
        <v>37.950000000000003</v>
      </c>
      <c r="AB37" s="94">
        <v>19483300</v>
      </c>
      <c r="AC37" s="10">
        <v>37.950000000000003</v>
      </c>
      <c r="AD37" s="2">
        <f t="shared" si="0"/>
        <v>0.89000000000000057</v>
      </c>
      <c r="AE37" s="137">
        <f t="shared" si="1"/>
        <v>1.6064257028112428E-2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42745</v>
      </c>
      <c r="X38" s="10">
        <v>36.19</v>
      </c>
      <c r="Y38" s="10">
        <v>38.159999999999997</v>
      </c>
      <c r="Z38" s="10">
        <v>36.049999999999997</v>
      </c>
      <c r="AA38" s="10">
        <v>37.35</v>
      </c>
      <c r="AB38" s="94">
        <v>34785800</v>
      </c>
      <c r="AC38" s="10">
        <v>37.35</v>
      </c>
      <c r="AD38" s="2">
        <f t="shared" si="0"/>
        <v>2.1099999999999994</v>
      </c>
      <c r="AE38" s="137">
        <f t="shared" si="1"/>
        <v>3.7211885587336901E-2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42744</v>
      </c>
      <c r="X39" s="10">
        <v>36.119999999999997</v>
      </c>
      <c r="Y39" s="10">
        <v>36.53</v>
      </c>
      <c r="Z39" s="10">
        <v>35.86</v>
      </c>
      <c r="AA39" s="10">
        <v>36.01</v>
      </c>
      <c r="AB39" s="94">
        <v>15201300</v>
      </c>
      <c r="AC39" s="10">
        <v>36.01</v>
      </c>
      <c r="AD39" s="2">
        <f t="shared" si="0"/>
        <v>0.67000000000000171</v>
      </c>
      <c r="AE39" s="137">
        <f t="shared" si="1"/>
        <v>5.5570991942199832E-4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42741</v>
      </c>
      <c r="X40" s="10">
        <v>36.409999999999997</v>
      </c>
      <c r="Y40" s="10">
        <v>36.549999999999997</v>
      </c>
      <c r="Z40" s="10">
        <v>35.93</v>
      </c>
      <c r="AA40" s="10">
        <v>35.99</v>
      </c>
      <c r="AB40" s="94">
        <v>13234800</v>
      </c>
      <c r="AC40" s="10">
        <v>35.99</v>
      </c>
      <c r="AD40" s="2">
        <f t="shared" si="0"/>
        <v>0.61999999999999744</v>
      </c>
      <c r="AE40" s="137">
        <f t="shared" si="1"/>
        <v>-1.0992030777686179E-2</v>
      </c>
    </row>
    <row r="41" spans="1:31" ht="20.25" thickBot="1" x14ac:dyDescent="0.3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703" t="s">
        <v>78</v>
      </c>
      <c r="P41" s="703"/>
      <c r="W41" s="132">
        <v>42740</v>
      </c>
      <c r="X41" s="10">
        <v>37.01</v>
      </c>
      <c r="Y41" s="10">
        <v>37.049999999999997</v>
      </c>
      <c r="Z41" s="10">
        <v>36.07</v>
      </c>
      <c r="AA41" s="10">
        <v>36.39</v>
      </c>
      <c r="AB41" s="94">
        <v>15621900</v>
      </c>
      <c r="AC41" s="10">
        <v>36.39</v>
      </c>
      <c r="AD41" s="2">
        <f t="shared" si="0"/>
        <v>0.97999999999999687</v>
      </c>
      <c r="AE41" s="137">
        <f t="shared" si="1"/>
        <v>-1.8873011593421474E-2</v>
      </c>
    </row>
    <row r="42" spans="1:31" ht="21" thickTop="1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82">
        <v>1.1000000000000001</v>
      </c>
      <c r="P42" s="82">
        <f>O42*$Q$4</f>
        <v>40.512999999999998</v>
      </c>
      <c r="Q42" s="2"/>
      <c r="T42" s="90" t="s">
        <v>113</v>
      </c>
      <c r="W42" s="132">
        <v>42739</v>
      </c>
      <c r="X42" s="10">
        <v>35.6</v>
      </c>
      <c r="Y42" s="10">
        <v>37.24</v>
      </c>
      <c r="Z42" s="10">
        <v>35.47</v>
      </c>
      <c r="AA42" s="10">
        <v>37.090000000000003</v>
      </c>
      <c r="AB42" s="94">
        <v>23293100</v>
      </c>
      <c r="AC42" s="10">
        <v>37.090000000000003</v>
      </c>
      <c r="AD42" s="2">
        <f t="shared" si="0"/>
        <v>1.7700000000000031</v>
      </c>
      <c r="AE42" s="137">
        <f t="shared" si="1"/>
        <v>5.5192034139402768E-2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2">O43*$Q$4</f>
        <v>40.1447</v>
      </c>
      <c r="Q43" s="2"/>
      <c r="T43" s="160" t="s">
        <v>98</v>
      </c>
      <c r="U43" s="160">
        <v>37.76</v>
      </c>
      <c r="W43" s="132">
        <v>42738</v>
      </c>
      <c r="X43" s="10">
        <v>34.979999999999997</v>
      </c>
      <c r="Y43" s="10">
        <v>35.57</v>
      </c>
      <c r="Z43" s="10">
        <v>34.840000000000003</v>
      </c>
      <c r="AA43" s="10">
        <v>35.15</v>
      </c>
      <c r="AB43" s="94">
        <v>10901100</v>
      </c>
      <c r="AC43" s="10">
        <v>35.15</v>
      </c>
      <c r="AD43" s="2">
        <f t="shared" si="0"/>
        <v>0.72999999999999687</v>
      </c>
      <c r="AE43" s="137">
        <f t="shared" si="1"/>
        <v>8.897818599310936E-3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2"/>
        <v>39.776400000000002</v>
      </c>
      <c r="Q44" s="2"/>
      <c r="T44" s="10" t="s">
        <v>99</v>
      </c>
      <c r="U44" s="10">
        <v>37.76</v>
      </c>
      <c r="W44" s="132">
        <v>42734</v>
      </c>
      <c r="X44" s="10">
        <v>35.21</v>
      </c>
      <c r="Y44" s="10">
        <v>35.31</v>
      </c>
      <c r="Z44" s="10">
        <v>34.67</v>
      </c>
      <c r="AA44" s="10">
        <v>34.840000000000003</v>
      </c>
      <c r="AB44" s="94">
        <v>7644100</v>
      </c>
      <c r="AC44" s="10">
        <v>34.840000000000003</v>
      </c>
      <c r="AD44" s="2">
        <f t="shared" si="0"/>
        <v>0.64000000000000057</v>
      </c>
      <c r="AE44" s="137">
        <f t="shared" si="1"/>
        <v>-8.5372794536140439E-3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2"/>
        <v>39.408099999999997</v>
      </c>
      <c r="Q45" s="2"/>
      <c r="T45" s="10" t="s">
        <v>100</v>
      </c>
      <c r="U45" s="10" t="s">
        <v>129</v>
      </c>
      <c r="W45" s="132">
        <v>42733</v>
      </c>
      <c r="X45" s="10">
        <v>35.25</v>
      </c>
      <c r="Y45" s="10">
        <v>35.479999999999997</v>
      </c>
      <c r="Z45" s="10">
        <v>35.119999999999997</v>
      </c>
      <c r="AA45" s="10">
        <v>35.14</v>
      </c>
      <c r="AB45" s="94">
        <v>4415300</v>
      </c>
      <c r="AC45" s="10">
        <v>35.14</v>
      </c>
      <c r="AD45" s="2">
        <f t="shared" si="0"/>
        <v>0.35999999999999943</v>
      </c>
      <c r="AE45" s="137">
        <f t="shared" si="1"/>
        <v>-2.8449502133709448E-4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2"/>
        <v>39.0398</v>
      </c>
      <c r="Q46" s="2"/>
      <c r="T46" s="10" t="s">
        <v>101</v>
      </c>
      <c r="U46" s="10" t="s">
        <v>129</v>
      </c>
      <c r="W46" s="132">
        <v>42732</v>
      </c>
      <c r="X46" s="10">
        <v>35.74</v>
      </c>
      <c r="Y46" s="10">
        <v>35.799999999999997</v>
      </c>
      <c r="Z46" s="10">
        <v>35.130000000000003</v>
      </c>
      <c r="AA46" s="10">
        <v>35.15</v>
      </c>
      <c r="AB46" s="94">
        <v>8395400</v>
      </c>
      <c r="AC46" s="10">
        <v>35.15</v>
      </c>
      <c r="AD46" s="2">
        <f t="shared" si="0"/>
        <v>0.6699999999999946</v>
      </c>
      <c r="AE46" s="137">
        <f t="shared" si="1"/>
        <v>-1.097355092853125E-2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38.671500000000002</v>
      </c>
      <c r="Q47" s="2"/>
      <c r="T47" s="10" t="s">
        <v>102</v>
      </c>
      <c r="U47" s="10">
        <v>39.35</v>
      </c>
      <c r="W47" s="132">
        <v>42731</v>
      </c>
      <c r="X47" s="10">
        <v>35.799999999999997</v>
      </c>
      <c r="Y47" s="10">
        <v>35.93</v>
      </c>
      <c r="Z47" s="10">
        <v>35.5</v>
      </c>
      <c r="AA47" s="10">
        <v>35.54</v>
      </c>
      <c r="AB47" s="94">
        <v>5983700</v>
      </c>
      <c r="AC47" s="10">
        <v>35.54</v>
      </c>
      <c r="AD47" s="2">
        <f t="shared" si="0"/>
        <v>0.42999999999999972</v>
      </c>
      <c r="AE47" s="137">
        <f t="shared" si="1"/>
        <v>-4.2028579434014723E-3</v>
      </c>
    </row>
    <row r="48" spans="1:31" x14ac:dyDescent="0.25">
      <c r="O48" s="82">
        <v>1.04</v>
      </c>
      <c r="P48" s="82">
        <f t="shared" si="2"/>
        <v>38.303199999999997</v>
      </c>
      <c r="Q48" s="2"/>
      <c r="T48" s="10" t="s">
        <v>103</v>
      </c>
      <c r="U48" s="10">
        <v>1.6429400000000001</v>
      </c>
      <c r="W48" s="132">
        <v>42727</v>
      </c>
      <c r="X48" s="10">
        <v>35.83</v>
      </c>
      <c r="Y48" s="10">
        <v>35.869999999999997</v>
      </c>
      <c r="Z48" s="10">
        <v>35.54</v>
      </c>
      <c r="AA48" s="10">
        <v>35.69</v>
      </c>
      <c r="AB48" s="94">
        <v>9044300</v>
      </c>
      <c r="AC48" s="10">
        <v>35.69</v>
      </c>
      <c r="AD48" s="2">
        <f t="shared" si="0"/>
        <v>0.32999999999999829</v>
      </c>
      <c r="AE48" s="137">
        <f t="shared" si="1"/>
        <v>0</v>
      </c>
    </row>
    <row r="49" spans="15:31" x14ac:dyDescent="0.25">
      <c r="O49" s="82">
        <v>1.03</v>
      </c>
      <c r="P49" s="82">
        <f t="shared" si="2"/>
        <v>37.934899999999999</v>
      </c>
      <c r="Q49" s="2"/>
      <c r="T49" s="10" t="s">
        <v>122</v>
      </c>
      <c r="U49" s="10" t="s">
        <v>415</v>
      </c>
      <c r="W49" s="132">
        <v>42726</v>
      </c>
      <c r="X49" s="10">
        <v>36.29</v>
      </c>
      <c r="Y49" s="10">
        <v>36.4</v>
      </c>
      <c r="Z49" s="10">
        <v>35.630000000000003</v>
      </c>
      <c r="AA49" s="10">
        <v>35.69</v>
      </c>
      <c r="AB49" s="94">
        <v>9851400</v>
      </c>
      <c r="AC49" s="10">
        <v>35.69</v>
      </c>
      <c r="AD49" s="2">
        <f t="shared" si="0"/>
        <v>0.76999999999999602</v>
      </c>
      <c r="AE49" s="137">
        <f t="shared" si="1"/>
        <v>-2.0043931905546541E-2</v>
      </c>
    </row>
    <row r="50" spans="15:31" x14ac:dyDescent="0.25">
      <c r="O50" s="82">
        <v>1.02</v>
      </c>
      <c r="P50" s="82">
        <f t="shared" si="2"/>
        <v>37.566600000000001</v>
      </c>
      <c r="Q50" s="2"/>
      <c r="T50" s="10"/>
      <c r="U50" s="10"/>
      <c r="W50" s="132">
        <v>42725</v>
      </c>
      <c r="X50" s="10">
        <v>36.5</v>
      </c>
      <c r="Y50" s="10">
        <v>36.69</v>
      </c>
      <c r="Z50" s="10">
        <v>36.35</v>
      </c>
      <c r="AA50" s="10">
        <v>36.42</v>
      </c>
      <c r="AB50" s="94">
        <v>6667900</v>
      </c>
      <c r="AC50" s="10">
        <v>36.42</v>
      </c>
      <c r="AD50" s="2">
        <f t="shared" si="0"/>
        <v>0.33999999999999631</v>
      </c>
      <c r="AE50" s="137">
        <f t="shared" si="1"/>
        <v>-5.1898388418464281E-3</v>
      </c>
    </row>
    <row r="51" spans="15:31" x14ac:dyDescent="0.25">
      <c r="O51" s="82">
        <v>1.01</v>
      </c>
      <c r="P51" s="82">
        <f t="shared" si="2"/>
        <v>37.198299999999996</v>
      </c>
      <c r="Q51" s="2"/>
      <c r="T51" s="10" t="s">
        <v>105</v>
      </c>
      <c r="U51" s="10" t="s">
        <v>729</v>
      </c>
      <c r="W51" s="132">
        <v>42724</v>
      </c>
      <c r="X51" s="10">
        <v>36.4</v>
      </c>
      <c r="Y51" s="10">
        <v>36.729999999999997</v>
      </c>
      <c r="Z51" s="10">
        <v>36.229999999999997</v>
      </c>
      <c r="AA51" s="10">
        <v>36.61</v>
      </c>
      <c r="AB51" s="94">
        <v>8769100</v>
      </c>
      <c r="AC51" s="10">
        <v>36.61</v>
      </c>
      <c r="AD51" s="2">
        <f t="shared" si="0"/>
        <v>0.5</v>
      </c>
      <c r="AE51" s="137">
        <f t="shared" si="1"/>
        <v>5.7692307692307487E-3</v>
      </c>
    </row>
    <row r="52" spans="15:31" x14ac:dyDescent="0.25">
      <c r="O52" s="82">
        <v>1</v>
      </c>
      <c r="P52" s="82">
        <f t="shared" si="2"/>
        <v>36.83</v>
      </c>
      <c r="Q52" s="2"/>
      <c r="T52" s="10" t="s">
        <v>106</v>
      </c>
      <c r="U52" s="10" t="s">
        <v>475</v>
      </c>
      <c r="W52" s="132">
        <v>42723</v>
      </c>
      <c r="X52" s="10">
        <v>36.49</v>
      </c>
      <c r="Y52" s="10">
        <v>36.729999999999997</v>
      </c>
      <c r="Z52" s="10">
        <v>36.15</v>
      </c>
      <c r="AA52" s="10">
        <v>36.4</v>
      </c>
      <c r="AB52" s="94">
        <v>10404200</v>
      </c>
      <c r="AC52" s="10">
        <v>36.4</v>
      </c>
      <c r="AD52" s="2">
        <f t="shared" si="0"/>
        <v>0.57999999999999829</v>
      </c>
      <c r="AE52" s="137">
        <f t="shared" si="1"/>
        <v>8.2485565026124696E-4</v>
      </c>
    </row>
    <row r="53" spans="15:31" x14ac:dyDescent="0.25">
      <c r="O53" s="82">
        <v>0.99</v>
      </c>
      <c r="P53" s="82">
        <f t="shared" si="2"/>
        <v>36.4617</v>
      </c>
      <c r="Q53" s="2"/>
      <c r="T53" s="10" t="s">
        <v>107</v>
      </c>
      <c r="U53" s="94">
        <v>19515749</v>
      </c>
      <c r="W53" s="132">
        <v>42720</v>
      </c>
      <c r="X53" s="10">
        <v>36.4</v>
      </c>
      <c r="Y53" s="10">
        <v>36.409999999999997</v>
      </c>
      <c r="Z53" s="10">
        <v>36.1</v>
      </c>
      <c r="AA53" s="10">
        <v>36.369999999999997</v>
      </c>
      <c r="AB53" s="94">
        <v>23566000</v>
      </c>
      <c r="AC53" s="10">
        <v>36.369999999999997</v>
      </c>
      <c r="AD53" s="2">
        <f t="shared" si="0"/>
        <v>0.30999999999999517</v>
      </c>
      <c r="AE53" s="137">
        <f t="shared" si="1"/>
        <v>3.587196467990994E-3</v>
      </c>
    </row>
    <row r="54" spans="15:31" x14ac:dyDescent="0.25">
      <c r="O54" s="82">
        <v>0.98</v>
      </c>
      <c r="P54" s="82">
        <f t="shared" si="2"/>
        <v>36.093399999999995</v>
      </c>
      <c r="Q54" s="2"/>
      <c r="T54" s="10" t="s">
        <v>110</v>
      </c>
      <c r="U54" s="94">
        <v>14281000</v>
      </c>
      <c r="W54" s="132">
        <v>42719</v>
      </c>
      <c r="X54" s="10">
        <v>35.869999999999997</v>
      </c>
      <c r="Y54" s="10">
        <v>36.39</v>
      </c>
      <c r="Z54" s="10">
        <v>35.78</v>
      </c>
      <c r="AA54" s="10">
        <v>36.24</v>
      </c>
      <c r="AB54" s="94">
        <v>18154500</v>
      </c>
      <c r="AC54" s="10">
        <v>36.24</v>
      </c>
      <c r="AD54" s="2">
        <f t="shared" si="0"/>
        <v>0.60999999999999943</v>
      </c>
      <c r="AE54" s="137">
        <f t="shared" si="1"/>
        <v>8.0667593880390243E-3</v>
      </c>
    </row>
    <row r="55" spans="15:31" x14ac:dyDescent="0.25">
      <c r="O55" s="82">
        <v>0.97</v>
      </c>
      <c r="P55" s="82">
        <f t="shared" si="2"/>
        <v>35.725099999999998</v>
      </c>
      <c r="T55" s="10" t="s">
        <v>108</v>
      </c>
      <c r="U55" s="10" t="s">
        <v>730</v>
      </c>
      <c r="W55" s="132">
        <v>42718</v>
      </c>
      <c r="X55" s="10">
        <v>36.299999999999997</v>
      </c>
      <c r="Y55" s="10">
        <v>36.78</v>
      </c>
      <c r="Z55" s="10">
        <v>35.93</v>
      </c>
      <c r="AA55" s="10">
        <v>35.950000000000003</v>
      </c>
      <c r="AB55" s="94">
        <v>19645800</v>
      </c>
      <c r="AC55" s="10">
        <v>35.950000000000003</v>
      </c>
      <c r="AD55" s="2">
        <f t="shared" si="0"/>
        <v>0.85000000000000142</v>
      </c>
      <c r="AE55" s="137">
        <f t="shared" si="1"/>
        <v>-3.7740899357601609E-2</v>
      </c>
    </row>
    <row r="56" spans="15:31" x14ac:dyDescent="0.25">
      <c r="O56" s="82">
        <v>0.96</v>
      </c>
      <c r="P56" s="82">
        <f t="shared" si="2"/>
        <v>35.3568</v>
      </c>
      <c r="T56" s="10" t="s">
        <v>111</v>
      </c>
      <c r="U56" s="10">
        <v>6.37</v>
      </c>
      <c r="W56" s="132">
        <v>42717</v>
      </c>
      <c r="X56" s="10">
        <v>37.15</v>
      </c>
      <c r="Y56" s="10">
        <v>37.44</v>
      </c>
      <c r="Z56" s="10">
        <v>36.950000000000003</v>
      </c>
      <c r="AA56" s="10">
        <v>37.36</v>
      </c>
      <c r="AB56" s="94">
        <v>8930200</v>
      </c>
      <c r="AC56" s="10">
        <v>37.36</v>
      </c>
      <c r="AD56" s="2">
        <f t="shared" si="0"/>
        <v>0.48999999999999488</v>
      </c>
      <c r="AE56" s="137">
        <f t="shared" si="1"/>
        <v>7.008086253369239E-3</v>
      </c>
    </row>
    <row r="57" spans="15:31" x14ac:dyDescent="0.25">
      <c r="O57" s="82">
        <v>0.95</v>
      </c>
      <c r="P57" s="82">
        <f t="shared" si="2"/>
        <v>34.988499999999995</v>
      </c>
      <c r="T57" s="10" t="s">
        <v>112</v>
      </c>
      <c r="U57" s="10">
        <v>6</v>
      </c>
      <c r="W57" s="132">
        <v>42716</v>
      </c>
      <c r="X57" s="10">
        <v>37.51</v>
      </c>
      <c r="Y57" s="10">
        <v>37.74</v>
      </c>
      <c r="Z57" s="10">
        <v>37.01</v>
      </c>
      <c r="AA57" s="10">
        <v>37.1</v>
      </c>
      <c r="AB57" s="94">
        <v>15573400</v>
      </c>
      <c r="AC57" s="10">
        <v>37.1</v>
      </c>
      <c r="AD57" s="2">
        <f t="shared" si="0"/>
        <v>0.73000000000000398</v>
      </c>
      <c r="AE57" s="137">
        <f t="shared" si="1"/>
        <v>-1.4869888475836257E-2</v>
      </c>
    </row>
    <row r="58" spans="15:31" x14ac:dyDescent="0.25">
      <c r="O58" s="82">
        <v>0.94</v>
      </c>
      <c r="P58" s="82">
        <f t="shared" si="2"/>
        <v>34.620199999999997</v>
      </c>
      <c r="T58" s="10" t="s">
        <v>109</v>
      </c>
      <c r="U58" s="10" t="s">
        <v>731</v>
      </c>
      <c r="W58" s="132">
        <v>42713</v>
      </c>
      <c r="X58" s="10">
        <v>36.409999999999997</v>
      </c>
      <c r="Y58" s="10">
        <v>37.68</v>
      </c>
      <c r="Z58" s="10">
        <v>36.409999999999997</v>
      </c>
      <c r="AA58" s="10">
        <v>37.659999999999997</v>
      </c>
      <c r="AB58" s="94">
        <v>26427100</v>
      </c>
      <c r="AC58" s="10">
        <v>37.659999999999997</v>
      </c>
      <c r="AD58" s="2">
        <f t="shared" si="0"/>
        <v>1.2700000000000031</v>
      </c>
      <c r="AE58" s="137">
        <f t="shared" si="1"/>
        <v>3.4047226798462171E-2</v>
      </c>
    </row>
    <row r="59" spans="15:31" x14ac:dyDescent="0.25">
      <c r="O59" s="82">
        <v>0.93</v>
      </c>
      <c r="P59" s="82">
        <f t="shared" si="2"/>
        <v>34.251899999999999</v>
      </c>
      <c r="W59" s="132">
        <v>42712</v>
      </c>
      <c r="X59" s="10">
        <v>36.19</v>
      </c>
      <c r="Y59" s="10">
        <v>36.46</v>
      </c>
      <c r="Z59" s="10">
        <v>36.04</v>
      </c>
      <c r="AA59" s="10">
        <v>36.42</v>
      </c>
      <c r="AB59" s="94">
        <v>14442200</v>
      </c>
      <c r="AC59" s="10">
        <v>36.42</v>
      </c>
      <c r="AD59" s="2">
        <f t="shared" si="0"/>
        <v>0.42000000000000171</v>
      </c>
      <c r="AE59" s="137">
        <f t="shared" si="1"/>
        <v>3.3057851239670644E-3</v>
      </c>
    </row>
    <row r="60" spans="15:31" x14ac:dyDescent="0.25">
      <c r="O60" s="82">
        <v>0.92</v>
      </c>
      <c r="P60" s="82">
        <f t="shared" si="2"/>
        <v>33.883600000000001</v>
      </c>
      <c r="W60" s="132">
        <v>42711</v>
      </c>
      <c r="X60" s="10">
        <v>35.18</v>
      </c>
      <c r="Y60" s="10">
        <v>36.54</v>
      </c>
      <c r="Z60" s="10">
        <v>35.090000000000003</v>
      </c>
      <c r="AA60" s="10">
        <v>36.299999999999997</v>
      </c>
      <c r="AB60" s="94">
        <v>26600700</v>
      </c>
      <c r="AC60" s="10">
        <v>36.299999999999997</v>
      </c>
      <c r="AD60" s="2">
        <f t="shared" si="0"/>
        <v>1.4499999999999957</v>
      </c>
      <c r="AE60" s="137">
        <f t="shared" si="1"/>
        <v>3.5072711719418281E-2</v>
      </c>
    </row>
    <row r="61" spans="15:31" x14ac:dyDescent="0.25">
      <c r="O61" s="82">
        <v>0.91</v>
      </c>
      <c r="P61" s="82">
        <f t="shared" si="2"/>
        <v>33.515299999999996</v>
      </c>
      <c r="W61" s="132">
        <v>42710</v>
      </c>
      <c r="X61" s="10">
        <v>35.090000000000003</v>
      </c>
      <c r="Y61" s="10">
        <v>35.159999999999997</v>
      </c>
      <c r="Z61" s="10">
        <v>34.909999999999997</v>
      </c>
      <c r="AA61" s="10">
        <v>35.07</v>
      </c>
      <c r="AB61" s="94">
        <v>11786700</v>
      </c>
      <c r="AC61" s="10">
        <v>35.07</v>
      </c>
      <c r="AD61" s="2">
        <f t="shared" si="0"/>
        <v>0.25</v>
      </c>
      <c r="AE61" s="137">
        <f t="shared" si="1"/>
        <v>3.7206639954208143E-3</v>
      </c>
    </row>
    <row r="62" spans="15:31" x14ac:dyDescent="0.25">
      <c r="O62" s="82">
        <v>0.9</v>
      </c>
      <c r="P62" s="82">
        <f t="shared" si="2"/>
        <v>33.146999999999998</v>
      </c>
      <c r="W62" s="132">
        <v>42709</v>
      </c>
      <c r="X62" s="10">
        <v>35.35</v>
      </c>
      <c r="Y62" s="10">
        <v>35.46</v>
      </c>
      <c r="Z62" s="10">
        <v>34.909999999999997</v>
      </c>
      <c r="AA62" s="10">
        <v>34.94</v>
      </c>
      <c r="AB62" s="94">
        <v>12440400</v>
      </c>
      <c r="AC62" s="10">
        <v>34.94</v>
      </c>
      <c r="AD62" s="2">
        <f t="shared" si="0"/>
        <v>0.55000000000000426</v>
      </c>
      <c r="AE62" s="137" t="e">
        <f t="shared" si="1"/>
        <v>#DIV/0!</v>
      </c>
    </row>
    <row r="63" spans="15:31" x14ac:dyDescent="0.25">
      <c r="W63" s="132">
        <v>42709</v>
      </c>
      <c r="X63" s="10" t="s">
        <v>187</v>
      </c>
      <c r="Y63" s="10"/>
      <c r="Z63" s="10"/>
      <c r="AA63" s="10"/>
      <c r="AB63" s="94"/>
      <c r="AC63" s="10"/>
      <c r="AD63" s="2">
        <f t="shared" si="0"/>
        <v>0</v>
      </c>
      <c r="AE63" s="137">
        <f t="shared" si="1"/>
        <v>-1</v>
      </c>
    </row>
    <row r="64" spans="15:31" x14ac:dyDescent="0.25">
      <c r="W64" s="132">
        <v>42706</v>
      </c>
      <c r="X64" s="10">
        <v>36.25</v>
      </c>
      <c r="Y64" s="10">
        <v>36.299999999999997</v>
      </c>
      <c r="Z64" s="10">
        <v>35.299999999999997</v>
      </c>
      <c r="AA64" s="10">
        <v>35.409999999999997</v>
      </c>
      <c r="AB64" s="94">
        <v>22753400</v>
      </c>
      <c r="AC64" s="10">
        <v>35.03</v>
      </c>
      <c r="AD64" s="2">
        <f t="shared" si="0"/>
        <v>1</v>
      </c>
      <c r="AE64" s="137">
        <f t="shared" si="1"/>
        <v>-2.802441731409544E-2</v>
      </c>
    </row>
    <row r="65" spans="23:31" x14ac:dyDescent="0.25">
      <c r="W65" s="132">
        <v>42705</v>
      </c>
      <c r="X65" s="10">
        <v>34.81</v>
      </c>
      <c r="Y65" s="10">
        <v>36.659999999999997</v>
      </c>
      <c r="Z65" s="10">
        <v>34.79</v>
      </c>
      <c r="AA65" s="10">
        <v>36.43</v>
      </c>
      <c r="AB65" s="94">
        <v>37092300</v>
      </c>
      <c r="AC65" s="10">
        <v>36.04</v>
      </c>
      <c r="AD65" s="2">
        <f t="shared" si="0"/>
        <v>1.8699999999999974</v>
      </c>
      <c r="AE65" s="137">
        <f t="shared" si="1"/>
        <v>5.5035128805620781E-2</v>
      </c>
    </row>
    <row r="66" spans="23:31" x14ac:dyDescent="0.25">
      <c r="W66" s="132">
        <v>42704</v>
      </c>
      <c r="X66" s="10">
        <v>34.700000000000003</v>
      </c>
      <c r="Y66" s="10">
        <v>34.979999999999997</v>
      </c>
      <c r="Z66" s="10">
        <v>34.450000000000003</v>
      </c>
      <c r="AA66" s="10">
        <v>34.53</v>
      </c>
      <c r="AB66" s="94">
        <v>15681700</v>
      </c>
      <c r="AC66" s="10">
        <v>34.159999999999997</v>
      </c>
      <c r="AD66" s="2">
        <f t="shared" si="0"/>
        <v>0.52999999999999403</v>
      </c>
      <c r="AE66" s="137">
        <f t="shared" si="1"/>
        <v>-1.1695906432750425E-3</v>
      </c>
    </row>
    <row r="67" spans="23:31" x14ac:dyDescent="0.25">
      <c r="W67" s="132">
        <v>42703</v>
      </c>
      <c r="X67" s="10">
        <v>34.03</v>
      </c>
      <c r="Y67" s="10">
        <v>34.58</v>
      </c>
      <c r="Z67" s="10">
        <v>33.86</v>
      </c>
      <c r="AA67" s="10">
        <v>34.57</v>
      </c>
      <c r="AB67" s="94">
        <v>12610000</v>
      </c>
      <c r="AC67" s="10">
        <v>34.200000000000003</v>
      </c>
      <c r="AD67" s="2">
        <f>Y67-Z67</f>
        <v>0.71999999999999886</v>
      </c>
      <c r="AE67" s="137">
        <f>AC67/AC68-1</f>
        <v>1.5439429928741255E-2</v>
      </c>
    </row>
    <row r="68" spans="23:31" x14ac:dyDescent="0.25">
      <c r="W68" s="132">
        <v>42702</v>
      </c>
      <c r="X68" s="10">
        <v>34.35</v>
      </c>
      <c r="Y68" s="10">
        <v>34.380000000000003</v>
      </c>
      <c r="Z68" s="10">
        <v>33.96</v>
      </c>
      <c r="AA68" s="10">
        <v>34.049999999999997</v>
      </c>
      <c r="AB68" s="94">
        <v>11516600</v>
      </c>
      <c r="AC68" s="10">
        <v>33.68</v>
      </c>
      <c r="AD68" s="2">
        <f>Y68-Z68</f>
        <v>0.42000000000000171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42802</v>
      </c>
      <c r="X2" s="10">
        <v>157.38999999999999</v>
      </c>
      <c r="Y2" s="10">
        <v>157.96</v>
      </c>
      <c r="Z2" s="10">
        <v>156.63999999999999</v>
      </c>
      <c r="AA2" s="10">
        <v>157.5</v>
      </c>
      <c r="AB2" s="94">
        <v>1105400</v>
      </c>
      <c r="AC2" s="10">
        <v>157.5</v>
      </c>
      <c r="AD2" s="2"/>
      <c r="AE2" s="137"/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159.33000000000001</v>
      </c>
      <c r="W3" s="132">
        <v>42801</v>
      </c>
      <c r="X3" s="10">
        <v>156.99</v>
      </c>
      <c r="Y3" s="10">
        <v>157.94</v>
      </c>
      <c r="Z3" s="10">
        <v>156.59</v>
      </c>
      <c r="AA3" s="10">
        <v>157.26</v>
      </c>
      <c r="AB3" s="94">
        <v>1153900</v>
      </c>
      <c r="AC3" s="10">
        <v>157.26</v>
      </c>
      <c r="AD3" s="2"/>
      <c r="AE3" s="137"/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3"/>
      <c r="L4" s="4"/>
      <c r="M4" s="4"/>
      <c r="O4" s="11" t="s">
        <v>66</v>
      </c>
      <c r="Q4" s="55">
        <v>159.33000000000001</v>
      </c>
      <c r="R4" s="499">
        <v>9.7999999999999997E-3</v>
      </c>
      <c r="W4" s="132">
        <v>42800</v>
      </c>
      <c r="X4" s="10">
        <v>158.71</v>
      </c>
      <c r="Y4" s="10">
        <v>159.29</v>
      </c>
      <c r="Z4" s="10">
        <v>157.55000000000001</v>
      </c>
      <c r="AA4" s="10">
        <v>157.71</v>
      </c>
      <c r="AB4" s="94">
        <v>1411900</v>
      </c>
      <c r="AC4" s="10">
        <v>157.71</v>
      </c>
      <c r="AD4" s="2"/>
      <c r="AE4" s="137"/>
    </row>
    <row r="5" spans="1:43" x14ac:dyDescent="0.25">
      <c r="B5" s="73"/>
      <c r="C5" s="4"/>
      <c r="D5" s="3"/>
      <c r="E5" s="3"/>
      <c r="F5" s="3"/>
      <c r="G5" s="4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42797</v>
      </c>
      <c r="X5" s="10">
        <v>158.72</v>
      </c>
      <c r="Y5" s="10">
        <v>160.41999999999999</v>
      </c>
      <c r="Z5" s="10">
        <v>158.66</v>
      </c>
      <c r="AA5" s="10">
        <v>160.16</v>
      </c>
      <c r="AB5" s="94">
        <v>1204000</v>
      </c>
      <c r="AC5" s="10">
        <v>160.16</v>
      </c>
      <c r="AD5" s="2"/>
      <c r="AE5" s="137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42796</v>
      </c>
      <c r="X6" s="10">
        <v>160</v>
      </c>
      <c r="Y6" s="10">
        <v>160</v>
      </c>
      <c r="Z6" s="10">
        <v>158.97999999999999</v>
      </c>
      <c r="AA6" s="10">
        <v>159.19999999999999</v>
      </c>
      <c r="AB6" s="94">
        <v>1414300</v>
      </c>
      <c r="AC6" s="10">
        <v>159.19999999999999</v>
      </c>
      <c r="AD6" s="2"/>
      <c r="AE6" s="137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465.57999999999993</v>
      </c>
      <c r="R7">
        <v>0</v>
      </c>
      <c r="W7" s="132">
        <v>42795</v>
      </c>
      <c r="X7" s="10">
        <v>159.47</v>
      </c>
      <c r="Y7" s="10">
        <v>160.88999999999999</v>
      </c>
      <c r="Z7" s="10">
        <v>158.91</v>
      </c>
      <c r="AA7" s="10">
        <v>159.82</v>
      </c>
      <c r="AB7" s="94">
        <v>1719800</v>
      </c>
      <c r="AC7" s="10">
        <v>159.82</v>
      </c>
      <c r="AD7" s="2"/>
      <c r="AE7" s="137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0</v>
      </c>
      <c r="W8" s="132">
        <v>42794</v>
      </c>
      <c r="X8" s="10">
        <v>158.19999999999999</v>
      </c>
      <c r="Y8" s="10">
        <v>159.25</v>
      </c>
      <c r="Z8" s="10">
        <v>157.52000000000001</v>
      </c>
      <c r="AA8" s="10">
        <v>157.68</v>
      </c>
      <c r="AB8" s="94">
        <v>1648600</v>
      </c>
      <c r="AC8" s="10">
        <v>157.68</v>
      </c>
      <c r="AD8" s="2"/>
      <c r="AE8" s="137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7">
        <f>IF(Q2=0, 0, Q8/Q6)</f>
        <v>0</v>
      </c>
      <c r="W9" s="132">
        <v>42793</v>
      </c>
      <c r="X9" s="10">
        <v>158.36000000000001</v>
      </c>
      <c r="Y9" s="10">
        <v>159.29</v>
      </c>
      <c r="Z9" s="10">
        <v>158.02000000000001</v>
      </c>
      <c r="AA9" s="10">
        <v>158.47999999999999</v>
      </c>
      <c r="AB9" s="94">
        <v>1220200</v>
      </c>
      <c r="AC9" s="10">
        <v>158.47999999999999</v>
      </c>
      <c r="AD9" s="2"/>
      <c r="AE9" s="137"/>
    </row>
    <row r="10" spans="1:43" x14ac:dyDescent="0.25">
      <c r="O10" s="11" t="s">
        <v>212</v>
      </c>
      <c r="P10" s="34"/>
      <c r="Q10" s="2">
        <f>M43</f>
        <v>465.57999999999993</v>
      </c>
      <c r="W10" s="132">
        <v>42790</v>
      </c>
      <c r="X10" s="10">
        <v>158.34</v>
      </c>
      <c r="Y10" s="10">
        <v>158.97999999999999</v>
      </c>
      <c r="Z10" s="10">
        <v>157.58000000000001</v>
      </c>
      <c r="AA10" s="10">
        <v>158.97999999999999</v>
      </c>
      <c r="AB10" s="94">
        <v>827500</v>
      </c>
      <c r="AC10" s="10">
        <v>158.97999999999999</v>
      </c>
      <c r="AD10" s="2"/>
      <c r="AE10" s="137"/>
    </row>
    <row r="11" spans="1:43" x14ac:dyDescent="0.25">
      <c r="O11" s="11" t="s">
        <v>178</v>
      </c>
      <c r="P11" s="34"/>
      <c r="Q11" s="137">
        <f>IF(U58="N/A (N/A)", 0, VALUE(TRIM(CLEAN(MID(U58, FIND("(", U58)+1, 5)))))</f>
        <v>3.8E-3</v>
      </c>
      <c r="W11" s="132">
        <v>42789</v>
      </c>
      <c r="X11" s="10">
        <v>158.59</v>
      </c>
      <c r="Y11" s="10">
        <v>159.12</v>
      </c>
      <c r="Z11" s="10">
        <v>157.69999999999999</v>
      </c>
      <c r="AA11" s="10">
        <v>158.72999999999999</v>
      </c>
      <c r="AB11" s="94">
        <v>1124900</v>
      </c>
      <c r="AC11" s="10">
        <v>158.72999999999999</v>
      </c>
      <c r="AD11" s="2"/>
      <c r="AE11" s="137"/>
    </row>
    <row r="12" spans="1:43" x14ac:dyDescent="0.25">
      <c r="W12" s="132">
        <v>42788</v>
      </c>
      <c r="X12" s="10">
        <v>158.34</v>
      </c>
      <c r="Y12" s="10">
        <v>159.1</v>
      </c>
      <c r="Z12" s="10">
        <v>157.69</v>
      </c>
      <c r="AA12" s="10">
        <v>158.02000000000001</v>
      </c>
      <c r="AB12" s="94">
        <v>1281900</v>
      </c>
      <c r="AC12" s="10">
        <v>158.02000000000001</v>
      </c>
      <c r="AD12" s="2"/>
      <c r="AE12" s="137"/>
    </row>
    <row r="13" spans="1:43" x14ac:dyDescent="0.25">
      <c r="W13" s="132">
        <v>42787</v>
      </c>
      <c r="X13" s="10">
        <v>158.63999999999999</v>
      </c>
      <c r="Y13" s="10">
        <v>159.41</v>
      </c>
      <c r="Z13" s="10">
        <v>157.96</v>
      </c>
      <c r="AA13" s="10">
        <v>158.63</v>
      </c>
      <c r="AB13" s="94">
        <v>1154400</v>
      </c>
      <c r="AC13" s="10">
        <v>158.63</v>
      </c>
      <c r="AD13" s="2"/>
      <c r="AE13" s="137"/>
    </row>
    <row r="14" spans="1:43" x14ac:dyDescent="0.25">
      <c r="W14" s="132">
        <v>42783</v>
      </c>
      <c r="X14" s="10">
        <v>157.62</v>
      </c>
      <c r="Y14" s="10">
        <v>159.30000000000001</v>
      </c>
      <c r="Z14" s="10">
        <v>157.38999999999999</v>
      </c>
      <c r="AA14" s="10">
        <v>158.63999999999999</v>
      </c>
      <c r="AB14" s="94">
        <v>1207400</v>
      </c>
      <c r="AC14" s="10">
        <v>158.63999999999999</v>
      </c>
      <c r="AD14" s="2"/>
      <c r="AE14" s="137"/>
    </row>
    <row r="15" spans="1:43" x14ac:dyDescent="0.25">
      <c r="W15" s="132">
        <v>42782</v>
      </c>
      <c r="X15" s="10">
        <v>158.01</v>
      </c>
      <c r="Y15" s="10">
        <v>158.55000000000001</v>
      </c>
      <c r="Z15" s="10">
        <v>157.44</v>
      </c>
      <c r="AA15" s="10">
        <v>157.71</v>
      </c>
      <c r="AB15" s="94">
        <v>1252700</v>
      </c>
      <c r="AC15" s="10">
        <v>157.71</v>
      </c>
      <c r="AD15" s="2"/>
      <c r="AE15" s="137"/>
    </row>
    <row r="16" spans="1:43" x14ac:dyDescent="0.25">
      <c r="W16" s="132">
        <v>42781</v>
      </c>
      <c r="X16" s="10">
        <v>156.49</v>
      </c>
      <c r="Y16" s="10">
        <v>158.37</v>
      </c>
      <c r="Z16" s="10">
        <v>156.47999999999999</v>
      </c>
      <c r="AA16" s="10">
        <v>158.26</v>
      </c>
      <c r="AB16" s="94">
        <v>1414300</v>
      </c>
      <c r="AC16" s="10">
        <v>158.26</v>
      </c>
      <c r="AD16" s="2"/>
      <c r="AE16" s="137"/>
    </row>
    <row r="17" spans="1:31" x14ac:dyDescent="0.25">
      <c r="W17" s="132">
        <v>42780</v>
      </c>
      <c r="X17" s="10">
        <v>155.94</v>
      </c>
      <c r="Y17" s="10">
        <v>157.33000000000001</v>
      </c>
      <c r="Z17" s="10">
        <v>155.41999999999999</v>
      </c>
      <c r="AA17" s="10">
        <v>157.28</v>
      </c>
      <c r="AB17" s="94">
        <v>1429700</v>
      </c>
      <c r="AC17" s="10">
        <v>157.28</v>
      </c>
      <c r="AD17" s="2"/>
      <c r="AE17" s="137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42779</v>
      </c>
      <c r="X18" s="10">
        <v>155</v>
      </c>
      <c r="Y18" s="10">
        <v>156.80000000000001</v>
      </c>
      <c r="Z18" s="10">
        <v>154.49</v>
      </c>
      <c r="AA18" s="10">
        <v>156.35</v>
      </c>
      <c r="AB18" s="94">
        <v>1635900</v>
      </c>
      <c r="AC18" s="10">
        <v>156.35</v>
      </c>
      <c r="AD18" s="2"/>
      <c r="AE18" s="137"/>
    </row>
    <row r="19" spans="1:31" x14ac:dyDescent="0.25">
      <c r="W19" s="132">
        <v>42776</v>
      </c>
      <c r="X19" s="10">
        <v>154.68</v>
      </c>
      <c r="Y19" s="10">
        <v>155.49</v>
      </c>
      <c r="Z19" s="10">
        <v>154.27000000000001</v>
      </c>
      <c r="AA19" s="10">
        <v>154.88999999999999</v>
      </c>
      <c r="AB19" s="94">
        <v>1481500</v>
      </c>
      <c r="AC19" s="10">
        <v>154.88999999999999</v>
      </c>
      <c r="AD19" s="2"/>
      <c r="AE19" s="137"/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42775</v>
      </c>
      <c r="X20" s="10">
        <v>153.5</v>
      </c>
      <c r="Y20" s="10">
        <v>155.27000000000001</v>
      </c>
      <c r="Z20" s="10">
        <v>153.38</v>
      </c>
      <c r="AA20" s="10">
        <v>154.74</v>
      </c>
      <c r="AB20" s="94">
        <v>1505000</v>
      </c>
      <c r="AC20" s="10">
        <v>154.74</v>
      </c>
      <c r="AD20" s="2"/>
      <c r="AE20" s="137"/>
    </row>
    <row r="21" spans="1:31" x14ac:dyDescent="0.25">
      <c r="B21" s="192"/>
      <c r="C21" s="10"/>
      <c r="D21" s="40"/>
      <c r="E21" s="40"/>
      <c r="F21" s="40"/>
      <c r="G21" s="40"/>
      <c r="H21" s="230"/>
      <c r="I21" s="40"/>
      <c r="W21" s="132">
        <v>42774</v>
      </c>
      <c r="X21" s="10">
        <v>152.38</v>
      </c>
      <c r="Y21" s="10">
        <v>154.22999999999999</v>
      </c>
      <c r="Z21" s="10">
        <v>151.69</v>
      </c>
      <c r="AA21" s="10">
        <v>153.5</v>
      </c>
      <c r="AB21" s="94">
        <v>1467100</v>
      </c>
      <c r="AC21" s="10">
        <v>153.5</v>
      </c>
      <c r="AD21" s="2"/>
      <c r="AE21" s="137"/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42773</v>
      </c>
      <c r="X22" s="10">
        <v>152.12</v>
      </c>
      <c r="Y22" s="10">
        <v>153.19999999999999</v>
      </c>
      <c r="Z22" s="10">
        <v>151.79</v>
      </c>
      <c r="AA22" s="10">
        <v>153.01</v>
      </c>
      <c r="AB22" s="94">
        <v>1477000</v>
      </c>
      <c r="AC22" s="10">
        <v>153.01</v>
      </c>
      <c r="AD22" s="2"/>
      <c r="AE22" s="137"/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42772</v>
      </c>
      <c r="X23" s="10">
        <v>151.06</v>
      </c>
      <c r="Y23" s="10">
        <v>152.15</v>
      </c>
      <c r="Z23" s="10">
        <v>150.41999999999999</v>
      </c>
      <c r="AA23" s="10">
        <v>152.08000000000001</v>
      </c>
      <c r="AB23" s="94">
        <v>1613500</v>
      </c>
      <c r="AC23" s="10">
        <v>152.08000000000001</v>
      </c>
      <c r="AD23" s="2"/>
      <c r="AE23" s="137"/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42769</v>
      </c>
      <c r="X24" s="10">
        <v>152.15</v>
      </c>
      <c r="Y24" s="10">
        <v>152.37</v>
      </c>
      <c r="Z24" s="10">
        <v>150.38999999999999</v>
      </c>
      <c r="AA24" s="10">
        <v>151.43</v>
      </c>
      <c r="AB24" s="94">
        <v>1817100</v>
      </c>
      <c r="AC24" s="10">
        <v>151.43</v>
      </c>
      <c r="AD24" s="2"/>
      <c r="AE24" s="137"/>
    </row>
    <row r="25" spans="1:31" x14ac:dyDescent="0.25">
      <c r="B25" s="616"/>
      <c r="C25" s="10"/>
      <c r="D25" s="40"/>
      <c r="E25" s="40"/>
      <c r="F25" s="40"/>
      <c r="G25" s="40"/>
      <c r="H25" s="231"/>
      <c r="I25" s="40"/>
      <c r="W25" s="132">
        <v>42768</v>
      </c>
      <c r="X25" s="10">
        <v>152.41</v>
      </c>
      <c r="Y25" s="10">
        <v>152.41</v>
      </c>
      <c r="Z25" s="10">
        <v>150.22999999999999</v>
      </c>
      <c r="AA25" s="10">
        <v>151.66999999999999</v>
      </c>
      <c r="AB25" s="94">
        <v>1751200</v>
      </c>
      <c r="AC25" s="10">
        <v>151.66999999999999</v>
      </c>
      <c r="AD25" s="2"/>
      <c r="AE25" s="137"/>
    </row>
    <row r="26" spans="1:31" x14ac:dyDescent="0.25">
      <c r="B26" s="192"/>
      <c r="C26" s="10"/>
      <c r="D26" s="40"/>
      <c r="E26" s="40"/>
      <c r="F26" s="40"/>
      <c r="G26" s="40"/>
      <c r="H26" s="231"/>
      <c r="I26" s="40"/>
      <c r="W26" s="132">
        <v>42767</v>
      </c>
      <c r="X26" s="10">
        <v>152.27000000000001</v>
      </c>
      <c r="Y26" s="10">
        <v>155.1</v>
      </c>
      <c r="Z26" s="10">
        <v>151.47999999999999</v>
      </c>
      <c r="AA26" s="10">
        <v>152.94</v>
      </c>
      <c r="AB26" s="94">
        <v>3601900</v>
      </c>
      <c r="AC26" s="10">
        <v>152.94</v>
      </c>
      <c r="AD26" s="2"/>
      <c r="AE26" s="137"/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42766</v>
      </c>
      <c r="X27" s="10">
        <v>146.65</v>
      </c>
      <c r="Y27" s="10">
        <v>152.5</v>
      </c>
      <c r="Z27" s="10">
        <v>146.08000000000001</v>
      </c>
      <c r="AA27" s="10">
        <v>152.38999999999999</v>
      </c>
      <c r="AB27" s="94">
        <v>5329200</v>
      </c>
      <c r="AC27" s="10">
        <v>152.38999999999999</v>
      </c>
      <c r="AD27" s="2"/>
      <c r="AE27" s="137"/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42765</v>
      </c>
      <c r="X28" s="10">
        <v>145.53</v>
      </c>
      <c r="Y28" s="10">
        <v>145.56</v>
      </c>
      <c r="Z28" s="10">
        <v>142.66</v>
      </c>
      <c r="AA28" s="10">
        <v>143.29</v>
      </c>
      <c r="AB28" s="94">
        <v>3153400</v>
      </c>
      <c r="AC28" s="10">
        <v>143.29</v>
      </c>
      <c r="AD28" s="2"/>
      <c r="AE28" s="137"/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42762</v>
      </c>
      <c r="X29" s="10">
        <v>144.01</v>
      </c>
      <c r="Y29" s="10">
        <v>145.86000000000001</v>
      </c>
      <c r="Z29" s="10">
        <v>143.76</v>
      </c>
      <c r="AA29" s="10">
        <v>145.44999999999999</v>
      </c>
      <c r="AB29" s="94">
        <v>2051800</v>
      </c>
      <c r="AC29" s="10">
        <v>145.44999999999999</v>
      </c>
      <c r="AD29" s="2"/>
      <c r="AE29" s="137"/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42761</v>
      </c>
      <c r="X30" s="10">
        <v>142.52000000000001</v>
      </c>
      <c r="Y30" s="10">
        <v>143.47</v>
      </c>
      <c r="Z30" s="10">
        <v>141.97</v>
      </c>
      <c r="AA30" s="10">
        <v>143.1</v>
      </c>
      <c r="AB30" s="94">
        <v>2934000</v>
      </c>
      <c r="AC30" s="10">
        <v>143.1</v>
      </c>
      <c r="AD30" s="2"/>
      <c r="AE30" s="137"/>
    </row>
    <row r="31" spans="1:31" x14ac:dyDescent="0.25">
      <c r="B31" s="616"/>
      <c r="C31" s="10"/>
      <c r="D31" s="40"/>
      <c r="E31" s="40"/>
      <c r="F31" s="40"/>
      <c r="G31" s="40"/>
      <c r="H31" s="231"/>
      <c r="I31" s="40"/>
      <c r="W31" s="132">
        <v>42760</v>
      </c>
      <c r="X31" s="10">
        <v>141.5</v>
      </c>
      <c r="Y31" s="10">
        <v>143.02000000000001</v>
      </c>
      <c r="Z31" s="10">
        <v>140.77000000000001</v>
      </c>
      <c r="AA31" s="10">
        <v>142.43</v>
      </c>
      <c r="AB31" s="94">
        <v>2223700</v>
      </c>
      <c r="AC31" s="10">
        <v>142.43</v>
      </c>
      <c r="AD31" s="2"/>
      <c r="AE31" s="137"/>
    </row>
    <row r="32" spans="1:31" x14ac:dyDescent="0.25">
      <c r="B32" s="192"/>
      <c r="C32" s="10"/>
      <c r="D32" s="40"/>
      <c r="E32" s="40"/>
      <c r="F32" s="40"/>
      <c r="G32" s="40"/>
      <c r="H32" s="231"/>
      <c r="I32" s="40"/>
      <c r="W32" s="132">
        <v>42759</v>
      </c>
      <c r="X32" s="10">
        <v>143.22999999999999</v>
      </c>
      <c r="Y32" s="10">
        <v>143.66</v>
      </c>
      <c r="Z32" s="10">
        <v>140</v>
      </c>
      <c r="AA32" s="10">
        <v>140.97999999999999</v>
      </c>
      <c r="AB32" s="94">
        <v>2983000</v>
      </c>
      <c r="AC32" s="10">
        <v>140.97999999999999</v>
      </c>
      <c r="AD32" s="2"/>
      <c r="AE32" s="137"/>
    </row>
    <row r="33" spans="1:31" x14ac:dyDescent="0.25">
      <c r="B33" s="192"/>
      <c r="C33" s="10"/>
      <c r="D33" s="40"/>
      <c r="E33" s="40"/>
      <c r="F33" s="40"/>
      <c r="G33" s="40"/>
      <c r="H33" s="231"/>
      <c r="I33" s="40"/>
      <c r="W33" s="132">
        <v>42758</v>
      </c>
      <c r="X33" s="10">
        <v>143.16</v>
      </c>
      <c r="Y33" s="10">
        <v>144.41999999999999</v>
      </c>
      <c r="Z33" s="10">
        <v>142.57</v>
      </c>
      <c r="AA33" s="10">
        <v>142.79</v>
      </c>
      <c r="AB33" s="94">
        <v>1496100</v>
      </c>
      <c r="AC33" s="10">
        <v>142.79</v>
      </c>
      <c r="AD33" s="2"/>
      <c r="AE33" s="137"/>
    </row>
    <row r="34" spans="1:31" x14ac:dyDescent="0.25">
      <c r="B34" s="10"/>
      <c r="C34" s="10"/>
      <c r="D34" s="40"/>
      <c r="E34" s="40"/>
      <c r="F34" s="40"/>
      <c r="G34" s="40"/>
      <c r="H34" s="231"/>
      <c r="I34" s="40"/>
      <c r="W34" s="132">
        <v>42755</v>
      </c>
      <c r="X34" s="10">
        <v>144.91</v>
      </c>
      <c r="Y34" s="10">
        <v>145.13999999999999</v>
      </c>
      <c r="Z34" s="10">
        <v>143.32</v>
      </c>
      <c r="AA34" s="10">
        <v>143.51</v>
      </c>
      <c r="AB34" s="94">
        <v>1710000</v>
      </c>
      <c r="AC34" s="10">
        <v>143.51</v>
      </c>
      <c r="AD34" s="2"/>
      <c r="AE34" s="137"/>
    </row>
    <row r="35" spans="1:31" x14ac:dyDescent="0.25">
      <c r="B35" s="10"/>
      <c r="C35" s="10"/>
      <c r="D35" s="40"/>
      <c r="E35" s="40"/>
      <c r="F35" s="40"/>
      <c r="G35" s="40"/>
      <c r="H35" s="231"/>
      <c r="I35" s="40"/>
      <c r="W35" s="132">
        <v>42754</v>
      </c>
      <c r="X35" s="10">
        <v>144.38</v>
      </c>
      <c r="Y35" s="10">
        <v>144.72</v>
      </c>
      <c r="Z35" s="10">
        <v>143.44</v>
      </c>
      <c r="AA35" s="10">
        <v>144.32</v>
      </c>
      <c r="AB35" s="94">
        <v>1435900</v>
      </c>
      <c r="AC35" s="10">
        <v>144.32</v>
      </c>
      <c r="AD35" s="2"/>
      <c r="AE35" s="137"/>
    </row>
    <row r="36" spans="1:31" x14ac:dyDescent="0.25">
      <c r="B36" s="10"/>
      <c r="C36" s="10"/>
      <c r="D36" s="40"/>
      <c r="E36" s="40"/>
      <c r="F36" s="40"/>
      <c r="G36" s="40"/>
      <c r="H36" s="231"/>
      <c r="I36" s="40"/>
      <c r="W36" s="132">
        <v>42753</v>
      </c>
      <c r="X36" s="10">
        <v>145.84</v>
      </c>
      <c r="Y36" s="10">
        <v>146</v>
      </c>
      <c r="Z36" s="10">
        <v>143.56</v>
      </c>
      <c r="AA36" s="10">
        <v>144.66</v>
      </c>
      <c r="AB36" s="94">
        <v>1358400</v>
      </c>
      <c r="AC36" s="10">
        <v>144.66</v>
      </c>
      <c r="AD36" s="2"/>
      <c r="AE36" s="137"/>
    </row>
    <row r="37" spans="1:31" x14ac:dyDescent="0.25">
      <c r="B37" s="10"/>
      <c r="C37" s="10"/>
      <c r="D37" s="40"/>
      <c r="E37" s="40"/>
      <c r="F37" s="40"/>
      <c r="G37" s="40"/>
      <c r="H37" s="231"/>
      <c r="I37" s="40"/>
      <c r="W37" s="132">
        <v>42752</v>
      </c>
      <c r="X37" s="10">
        <v>145.66999999999999</v>
      </c>
      <c r="Y37" s="10">
        <v>145.87</v>
      </c>
      <c r="Z37" s="10">
        <v>144.55000000000001</v>
      </c>
      <c r="AA37" s="10">
        <v>145.05000000000001</v>
      </c>
      <c r="AB37" s="94">
        <v>1649300</v>
      </c>
      <c r="AC37" s="10">
        <v>145.05000000000001</v>
      </c>
      <c r="AD37" s="2"/>
      <c r="AE37" s="137"/>
    </row>
    <row r="38" spans="1:31" x14ac:dyDescent="0.25">
      <c r="B38" s="10"/>
      <c r="C38" s="10"/>
      <c r="D38" s="40"/>
      <c r="E38" s="40"/>
      <c r="F38" s="40"/>
      <c r="G38" s="40"/>
      <c r="H38" s="231"/>
      <c r="I38" s="40"/>
      <c r="W38" s="132">
        <v>42748</v>
      </c>
      <c r="X38" s="10">
        <v>146.09</v>
      </c>
      <c r="Y38" s="10">
        <v>147.03</v>
      </c>
      <c r="Z38" s="10">
        <v>145.52000000000001</v>
      </c>
      <c r="AA38" s="10">
        <v>146.29</v>
      </c>
      <c r="AB38" s="94">
        <v>1839600</v>
      </c>
      <c r="AC38" s="10">
        <v>146.29</v>
      </c>
      <c r="AD38" s="2"/>
      <c r="AE38" s="137"/>
    </row>
    <row r="39" spans="1:31" x14ac:dyDescent="0.25">
      <c r="B39" s="10"/>
      <c r="C39" s="10"/>
      <c r="D39" s="40"/>
      <c r="E39" s="40"/>
      <c r="F39" s="40"/>
      <c r="G39" s="40"/>
      <c r="H39" s="231"/>
      <c r="I39" s="40"/>
      <c r="W39" s="132">
        <v>42747</v>
      </c>
      <c r="X39" s="10">
        <v>146.18</v>
      </c>
      <c r="Y39" s="10">
        <v>146.99</v>
      </c>
      <c r="Z39" s="10">
        <v>145.13</v>
      </c>
      <c r="AA39" s="10">
        <v>145.97</v>
      </c>
      <c r="AB39" s="94">
        <v>2237300</v>
      </c>
      <c r="AC39" s="10">
        <v>145.97</v>
      </c>
      <c r="AD39" s="2"/>
      <c r="AE39" s="137"/>
    </row>
    <row r="40" spans="1:31" x14ac:dyDescent="0.25">
      <c r="B40" s="10"/>
      <c r="C40" s="10"/>
      <c r="D40" s="40"/>
      <c r="E40" s="40"/>
      <c r="F40" s="40"/>
      <c r="G40" s="40"/>
      <c r="H40" s="231"/>
      <c r="I40" s="40"/>
      <c r="W40" s="132">
        <v>42746</v>
      </c>
      <c r="X40" s="10">
        <v>147.79</v>
      </c>
      <c r="Y40" s="10">
        <v>148.33000000000001</v>
      </c>
      <c r="Z40" s="10">
        <v>143.87</v>
      </c>
      <c r="AA40" s="10">
        <v>146.22</v>
      </c>
      <c r="AB40" s="94">
        <v>2760300</v>
      </c>
      <c r="AC40" s="10">
        <v>146.22</v>
      </c>
      <c r="AD40" s="2"/>
      <c r="AE40" s="137"/>
    </row>
    <row r="41" spans="1:31" x14ac:dyDescent="0.25">
      <c r="B41" s="10"/>
      <c r="C41" s="10"/>
      <c r="D41" s="40"/>
      <c r="E41" s="40"/>
      <c r="F41" s="40"/>
      <c r="G41" s="40"/>
      <c r="H41" s="231"/>
      <c r="I41" s="40"/>
      <c r="W41" s="132">
        <v>42745</v>
      </c>
      <c r="X41" s="10">
        <v>147.80000000000001</v>
      </c>
      <c r="Y41" s="10">
        <v>149.32</v>
      </c>
      <c r="Z41" s="10">
        <v>147.30000000000001</v>
      </c>
      <c r="AA41" s="10">
        <v>147.78</v>
      </c>
      <c r="AB41" s="94">
        <v>1804700</v>
      </c>
      <c r="AC41" s="10">
        <v>147.78</v>
      </c>
      <c r="AD41" s="2"/>
      <c r="AE41" s="137"/>
    </row>
    <row r="42" spans="1:31" ht="20.25" thickBot="1" x14ac:dyDescent="0.35">
      <c r="T42" s="90" t="s">
        <v>113</v>
      </c>
      <c r="W42" s="132">
        <v>42744</v>
      </c>
      <c r="X42" s="10">
        <v>147.01</v>
      </c>
      <c r="Y42" s="10">
        <v>148.63999999999999</v>
      </c>
      <c r="Z42" s="10">
        <v>147.01</v>
      </c>
      <c r="AA42" s="10">
        <v>147.49</v>
      </c>
      <c r="AB42" s="94">
        <v>1966300</v>
      </c>
      <c r="AC42" s="10">
        <v>147.49</v>
      </c>
      <c r="AD42" s="2"/>
      <c r="AE42" s="137"/>
    </row>
    <row r="43" spans="1:31" ht="15.75" thickTop="1" x14ac:dyDescent="0.25">
      <c r="L43" t="s">
        <v>212</v>
      </c>
      <c r="M43" s="2">
        <f>M54+K54-F54</f>
        <v>465.57999999999993</v>
      </c>
      <c r="T43" s="127" t="s">
        <v>98</v>
      </c>
      <c r="U43" s="572">
        <v>159.19999999999999</v>
      </c>
      <c r="W43" s="132">
        <v>42741</v>
      </c>
      <c r="X43" s="10">
        <v>145.28</v>
      </c>
      <c r="Y43" s="10">
        <v>147.49</v>
      </c>
      <c r="Z43" s="10">
        <v>145.13999999999999</v>
      </c>
      <c r="AA43" s="10">
        <v>147.27000000000001</v>
      </c>
      <c r="AB43" s="94">
        <v>1968500</v>
      </c>
      <c r="AC43" s="10">
        <v>147.27000000000001</v>
      </c>
      <c r="AD43" s="2"/>
      <c r="AE43" s="137"/>
    </row>
    <row r="44" spans="1:31" x14ac:dyDescent="0.25">
      <c r="A44" s="384" t="s">
        <v>1</v>
      </c>
      <c r="B44" s="384" t="s">
        <v>2</v>
      </c>
      <c r="C44" s="384" t="s">
        <v>4</v>
      </c>
      <c r="D44" s="384" t="s">
        <v>5</v>
      </c>
      <c r="E44" s="386" t="s">
        <v>94</v>
      </c>
      <c r="F44" s="384" t="s">
        <v>60</v>
      </c>
      <c r="G44" s="384" t="s">
        <v>3</v>
      </c>
      <c r="H44" s="384" t="s">
        <v>6</v>
      </c>
      <c r="I44" s="384" t="s">
        <v>7</v>
      </c>
      <c r="J44" s="384" t="s">
        <v>95</v>
      </c>
      <c r="K44" s="384" t="s">
        <v>61</v>
      </c>
      <c r="L44" s="384" t="s">
        <v>77</v>
      </c>
      <c r="M44" s="384" t="s">
        <v>38</v>
      </c>
      <c r="T44" s="92" t="s">
        <v>99</v>
      </c>
      <c r="U44" s="432">
        <v>158.72</v>
      </c>
      <c r="W44" s="132">
        <v>42740</v>
      </c>
      <c r="X44" s="10">
        <v>145.38</v>
      </c>
      <c r="Y44" s="10">
        <v>145.77000000000001</v>
      </c>
      <c r="Z44" s="10">
        <v>144.78</v>
      </c>
      <c r="AA44" s="10">
        <v>145.38</v>
      </c>
      <c r="AB44" s="94">
        <v>1683500</v>
      </c>
      <c r="AC44" s="10">
        <v>145.38</v>
      </c>
      <c r="AD44" s="2"/>
      <c r="AE44" s="137"/>
    </row>
    <row r="45" spans="1:31" ht="20.25" thickBot="1" x14ac:dyDescent="0.35">
      <c r="A45" s="387" t="s">
        <v>0</v>
      </c>
      <c r="B45" s="666">
        <v>42403</v>
      </c>
      <c r="C45" s="378">
        <v>10</v>
      </c>
      <c r="D45" s="379">
        <v>123.5</v>
      </c>
      <c r="E45" s="379">
        <v>0</v>
      </c>
      <c r="F45" s="379">
        <f>D45*C45+E45</f>
        <v>1235</v>
      </c>
      <c r="G45" s="666">
        <v>42436</v>
      </c>
      <c r="H45" s="382">
        <v>10</v>
      </c>
      <c r="I45" s="379">
        <v>140.65</v>
      </c>
      <c r="J45" s="379">
        <v>0.03</v>
      </c>
      <c r="K45" s="378">
        <f>I45*H45-J45</f>
        <v>1406.47</v>
      </c>
      <c r="L45" s="377"/>
      <c r="M45" s="379"/>
      <c r="O45" s="703" t="s">
        <v>78</v>
      </c>
      <c r="P45" s="703"/>
      <c r="T45" s="92" t="s">
        <v>100</v>
      </c>
      <c r="U45" s="432" t="s">
        <v>129</v>
      </c>
      <c r="W45" s="132">
        <v>42739</v>
      </c>
      <c r="X45" s="10">
        <v>143.94999999999999</v>
      </c>
      <c r="Y45" s="10">
        <v>146.06</v>
      </c>
      <c r="Z45" s="10">
        <v>143.29</v>
      </c>
      <c r="AA45" s="10">
        <v>145.16</v>
      </c>
      <c r="AB45" s="94">
        <v>2160500</v>
      </c>
      <c r="AC45" s="10">
        <v>145.16</v>
      </c>
      <c r="AD45" s="2"/>
      <c r="AE45" s="137"/>
    </row>
    <row r="46" spans="1:31" ht="15.75" thickTop="1" x14ac:dyDescent="0.25">
      <c r="A46" s="388" t="s">
        <v>71</v>
      </c>
      <c r="B46" s="575">
        <v>42702</v>
      </c>
      <c r="C46" s="524">
        <v>20</v>
      </c>
      <c r="D46" s="526">
        <v>139.88</v>
      </c>
      <c r="E46" s="526">
        <v>0</v>
      </c>
      <c r="F46" s="526">
        <f>C46*D46 + E46</f>
        <v>2797.6</v>
      </c>
      <c r="G46" s="575">
        <v>42766</v>
      </c>
      <c r="H46" s="524">
        <v>10</v>
      </c>
      <c r="I46" s="526">
        <v>149.08000000000001</v>
      </c>
      <c r="J46" s="526">
        <v>0.03</v>
      </c>
      <c r="K46" s="526">
        <f>H46*I46 - J46</f>
        <v>1490.7700000000002</v>
      </c>
      <c r="L46" s="523">
        <v>42753</v>
      </c>
      <c r="M46" s="526">
        <v>3</v>
      </c>
      <c r="O46" s="82">
        <v>1.1000000000000001</v>
      </c>
      <c r="P46" s="82">
        <f>O46*$Q$4</f>
        <v>175.26300000000003</v>
      </c>
      <c r="Q46" s="2"/>
      <c r="T46" s="92" t="s">
        <v>101</v>
      </c>
      <c r="U46" s="432" t="s">
        <v>129</v>
      </c>
      <c r="W46" s="132">
        <v>42738</v>
      </c>
      <c r="X46" s="10">
        <v>142.38999999999999</v>
      </c>
      <c r="Y46" s="10">
        <v>143.83000000000001</v>
      </c>
      <c r="Z46" s="10">
        <v>142.22999999999999</v>
      </c>
      <c r="AA46" s="10">
        <v>143.66999999999999</v>
      </c>
      <c r="AB46" s="94">
        <v>1966400</v>
      </c>
      <c r="AC46" s="10">
        <v>143.66999999999999</v>
      </c>
      <c r="AD46" s="2"/>
      <c r="AE46" s="137"/>
    </row>
    <row r="47" spans="1:31" x14ac:dyDescent="0.25">
      <c r="A47" s="378"/>
      <c r="B47" s="575">
        <v>42767</v>
      </c>
      <c r="C47" s="524">
        <v>10</v>
      </c>
      <c r="D47" s="526">
        <v>152.69999999999999</v>
      </c>
      <c r="E47" s="526">
        <v>0</v>
      </c>
      <c r="F47" s="526">
        <f>C47*D47 + E47</f>
        <v>1527</v>
      </c>
      <c r="G47" s="575">
        <v>42767</v>
      </c>
      <c r="H47" s="542">
        <v>10</v>
      </c>
      <c r="I47" s="526">
        <v>154.6</v>
      </c>
      <c r="J47" s="526">
        <v>0.03</v>
      </c>
      <c r="K47" s="526">
        <f>H47*I47 - J47</f>
        <v>1545.97</v>
      </c>
      <c r="L47" s="523"/>
      <c r="M47" s="526"/>
      <c r="O47" s="82">
        <v>1.0900000000000001</v>
      </c>
      <c r="P47" s="82">
        <f t="shared" ref="P47:P66" si="0">O47*$Q$4</f>
        <v>173.66970000000003</v>
      </c>
      <c r="Q47" s="2"/>
      <c r="T47" s="92" t="s">
        <v>102</v>
      </c>
      <c r="U47" s="432">
        <v>173.18</v>
      </c>
      <c r="W47" s="132">
        <v>42734</v>
      </c>
      <c r="X47" s="10">
        <v>142.16</v>
      </c>
      <c r="Y47" s="10">
        <v>142.34</v>
      </c>
      <c r="Z47" s="10">
        <v>140.44999999999999</v>
      </c>
      <c r="AA47" s="10">
        <v>141.1</v>
      </c>
      <c r="AB47" s="94">
        <v>1063200</v>
      </c>
      <c r="AC47" s="10">
        <v>141.1</v>
      </c>
      <c r="AD47" s="2"/>
      <c r="AE47" s="137"/>
    </row>
    <row r="48" spans="1:31" x14ac:dyDescent="0.25">
      <c r="A48" s="378"/>
      <c r="B48" s="575"/>
      <c r="C48" s="524"/>
      <c r="D48" s="526"/>
      <c r="E48" s="526"/>
      <c r="F48" s="526"/>
      <c r="G48" s="575">
        <v>42803</v>
      </c>
      <c r="H48" s="542">
        <v>10</v>
      </c>
      <c r="I48" s="524">
        <v>157.9</v>
      </c>
      <c r="J48" s="526">
        <v>0.03</v>
      </c>
      <c r="K48" s="526">
        <f>H48*I48 - J48</f>
        <v>1578.97</v>
      </c>
      <c r="L48" s="524"/>
      <c r="M48" s="524"/>
      <c r="O48" s="82">
        <v>1.08</v>
      </c>
      <c r="P48" s="82">
        <f t="shared" si="0"/>
        <v>172.07640000000004</v>
      </c>
      <c r="Q48" s="2"/>
      <c r="T48" s="92" t="s">
        <v>103</v>
      </c>
      <c r="U48" s="432">
        <v>0.96229299999999995</v>
      </c>
      <c r="W48" s="132">
        <v>42733</v>
      </c>
      <c r="X48" s="10">
        <v>141.01</v>
      </c>
      <c r="Y48" s="10">
        <v>142.38</v>
      </c>
      <c r="Z48" s="10">
        <v>141</v>
      </c>
      <c r="AA48" s="10">
        <v>141.47999999999999</v>
      </c>
      <c r="AB48" s="94">
        <v>767400</v>
      </c>
      <c r="AC48" s="10">
        <v>141.47999999999999</v>
      </c>
      <c r="AD48" s="2"/>
      <c r="AE48" s="137"/>
    </row>
    <row r="49" spans="1:31" x14ac:dyDescent="0.25">
      <c r="A49" s="378"/>
      <c r="B49" s="575"/>
      <c r="C49" s="524"/>
      <c r="D49" s="526"/>
      <c r="E49" s="526"/>
      <c r="F49" s="526"/>
      <c r="G49" s="575"/>
      <c r="H49" s="542"/>
      <c r="I49" s="526"/>
      <c r="J49" s="526"/>
      <c r="K49" s="524"/>
      <c r="L49" s="524"/>
      <c r="M49" s="524"/>
      <c r="O49" s="82">
        <v>1.07</v>
      </c>
      <c r="P49" s="82">
        <f t="shared" si="0"/>
        <v>170.48310000000004</v>
      </c>
      <c r="Q49" s="2"/>
      <c r="T49" s="92" t="s">
        <v>122</v>
      </c>
      <c r="U49" s="432" t="s">
        <v>417</v>
      </c>
      <c r="W49" s="132">
        <v>42732</v>
      </c>
      <c r="X49" s="10">
        <v>142.56</v>
      </c>
      <c r="Y49" s="10">
        <v>142.78</v>
      </c>
      <c r="Z49" s="10">
        <v>141.11000000000001</v>
      </c>
      <c r="AA49" s="10">
        <v>141.22</v>
      </c>
      <c r="AB49" s="94">
        <v>999700</v>
      </c>
      <c r="AC49" s="10">
        <v>141.22</v>
      </c>
      <c r="AD49" s="2"/>
      <c r="AE49" s="137"/>
    </row>
    <row r="50" spans="1:31" x14ac:dyDescent="0.25">
      <c r="A50" s="378"/>
      <c r="B50" s="666"/>
      <c r="C50" s="378"/>
      <c r="D50" s="379"/>
      <c r="E50" s="379"/>
      <c r="F50" s="379"/>
      <c r="G50" s="666"/>
      <c r="H50" s="378"/>
      <c r="I50" s="378"/>
      <c r="J50" s="378"/>
      <c r="K50" s="378"/>
      <c r="L50" s="378"/>
      <c r="M50" s="378"/>
      <c r="O50" s="82">
        <v>1.06</v>
      </c>
      <c r="P50" s="82">
        <f t="shared" si="0"/>
        <v>168.88980000000001</v>
      </c>
      <c r="Q50" s="2"/>
      <c r="T50" s="92"/>
      <c r="U50" s="432"/>
      <c r="W50" s="132">
        <v>42731</v>
      </c>
      <c r="X50" s="10">
        <v>142.16999999999999</v>
      </c>
      <c r="Y50" s="10">
        <v>143.19</v>
      </c>
      <c r="Z50" s="10">
        <v>141.87</v>
      </c>
      <c r="AA50" s="10">
        <v>142.41</v>
      </c>
      <c r="AB50" s="94">
        <v>878000</v>
      </c>
      <c r="AC50" s="10">
        <v>142.41</v>
      </c>
      <c r="AD50" s="2"/>
      <c r="AE50" s="137"/>
    </row>
    <row r="51" spans="1:31" x14ac:dyDescent="0.25">
      <c r="A51" s="378"/>
      <c r="B51" s="666"/>
      <c r="C51" s="378"/>
      <c r="D51" s="379"/>
      <c r="E51" s="379"/>
      <c r="F51" s="379"/>
      <c r="G51" s="666"/>
      <c r="H51" s="378"/>
      <c r="I51" s="378"/>
      <c r="J51" s="378"/>
      <c r="K51" s="378"/>
      <c r="L51" s="378"/>
      <c r="M51" s="378"/>
      <c r="O51" s="82">
        <v>1.05</v>
      </c>
      <c r="P51" s="82">
        <f t="shared" si="0"/>
        <v>167.29650000000001</v>
      </c>
      <c r="Q51" s="2"/>
      <c r="T51" s="92" t="s">
        <v>105</v>
      </c>
      <c r="U51" s="432" t="s">
        <v>732</v>
      </c>
      <c r="W51" s="132">
        <v>42727</v>
      </c>
      <c r="X51" s="10">
        <v>140.85</v>
      </c>
      <c r="Y51" s="10">
        <v>141.99</v>
      </c>
      <c r="Z51" s="10">
        <v>139.88</v>
      </c>
      <c r="AA51" s="10">
        <v>141.84</v>
      </c>
      <c r="AB51" s="94">
        <v>1044900</v>
      </c>
      <c r="AC51" s="10">
        <v>141.84</v>
      </c>
      <c r="AD51" s="2"/>
      <c r="AE51" s="137"/>
    </row>
    <row r="52" spans="1:31" x14ac:dyDescent="0.25">
      <c r="A52" s="378"/>
      <c r="B52" s="666"/>
      <c r="C52" s="378"/>
      <c r="D52" s="379"/>
      <c r="E52" s="379"/>
      <c r="F52" s="379"/>
      <c r="G52" s="666"/>
      <c r="H52" s="378"/>
      <c r="I52" s="378"/>
      <c r="J52" s="378"/>
      <c r="K52" s="378"/>
      <c r="L52" s="378"/>
      <c r="M52" s="378"/>
      <c r="O52" s="82">
        <v>1.04</v>
      </c>
      <c r="P52" s="82">
        <f t="shared" si="0"/>
        <v>165.70320000000001</v>
      </c>
      <c r="Q52" s="2"/>
      <c r="T52" s="92" t="s">
        <v>106</v>
      </c>
      <c r="U52" s="432" t="s">
        <v>582</v>
      </c>
      <c r="W52" s="132">
        <v>42726</v>
      </c>
      <c r="X52" s="10">
        <v>140.94999999999999</v>
      </c>
      <c r="Y52" s="10">
        <v>141.09</v>
      </c>
      <c r="Z52" s="10">
        <v>139.88</v>
      </c>
      <c r="AA52" s="10">
        <v>140.52000000000001</v>
      </c>
      <c r="AB52" s="94">
        <v>1191100</v>
      </c>
      <c r="AC52" s="10">
        <v>140.52000000000001</v>
      </c>
      <c r="AD52" s="2"/>
      <c r="AE52" s="137"/>
    </row>
    <row r="53" spans="1:31" x14ac:dyDescent="0.25">
      <c r="A53" s="378"/>
      <c r="B53" s="666"/>
      <c r="C53" s="378"/>
      <c r="D53" s="378"/>
      <c r="E53" s="379"/>
      <c r="F53" s="378"/>
      <c r="G53" s="666"/>
      <c r="H53" s="378"/>
      <c r="I53" s="378"/>
      <c r="J53" s="378"/>
      <c r="K53" s="378"/>
      <c r="L53" s="378"/>
      <c r="M53" s="378"/>
      <c r="O53" s="82">
        <v>1.03</v>
      </c>
      <c r="P53" s="82">
        <f t="shared" si="0"/>
        <v>164.10990000000001</v>
      </c>
      <c r="Q53" s="2"/>
      <c r="T53" s="92" t="s">
        <v>107</v>
      </c>
      <c r="U53" s="433">
        <v>1204035</v>
      </c>
      <c r="W53" s="132">
        <v>42725</v>
      </c>
      <c r="X53" s="10">
        <v>141.74</v>
      </c>
      <c r="Y53" s="10">
        <v>141.80000000000001</v>
      </c>
      <c r="Z53" s="10">
        <v>140.41999999999999</v>
      </c>
      <c r="AA53" s="10">
        <v>140.77000000000001</v>
      </c>
      <c r="AB53" s="94">
        <v>1502600</v>
      </c>
      <c r="AC53" s="10">
        <v>140.77000000000001</v>
      </c>
      <c r="AD53" s="2"/>
      <c r="AE53" s="137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162.51660000000001</v>
      </c>
      <c r="Q54" s="2"/>
      <c r="T54" s="92" t="s">
        <v>110</v>
      </c>
      <c r="U54" s="433">
        <v>1813990</v>
      </c>
      <c r="W54" s="132">
        <v>42724</v>
      </c>
      <c r="X54" s="10">
        <v>141.58000000000001</v>
      </c>
      <c r="Y54" s="10">
        <v>142.59</v>
      </c>
      <c r="Z54" s="10">
        <v>140.71</v>
      </c>
      <c r="AA54" s="10">
        <v>141.80000000000001</v>
      </c>
      <c r="AB54" s="94">
        <v>1871300</v>
      </c>
      <c r="AC54" s="10">
        <v>141.80000000000001</v>
      </c>
      <c r="AD54" s="2"/>
      <c r="AE54" s="137"/>
    </row>
    <row r="55" spans="1:31" x14ac:dyDescent="0.25">
      <c r="A55" s="378"/>
      <c r="B55" s="378"/>
      <c r="C55" s="378"/>
      <c r="D55" s="378"/>
      <c r="E55" s="379"/>
      <c r="F55" s="378"/>
      <c r="G55" s="378"/>
      <c r="H55" s="378"/>
      <c r="I55" s="378"/>
      <c r="J55" s="378"/>
      <c r="K55" s="378"/>
      <c r="L55" s="378"/>
      <c r="M55" s="378"/>
      <c r="O55" s="82">
        <v>1.01</v>
      </c>
      <c r="P55" s="82">
        <f t="shared" si="0"/>
        <v>160.92330000000001</v>
      </c>
      <c r="Q55" s="2"/>
      <c r="T55" s="92" t="s">
        <v>108</v>
      </c>
      <c r="U55" s="432" t="s">
        <v>733</v>
      </c>
      <c r="W55" s="132">
        <v>42723</v>
      </c>
      <c r="X55" s="10">
        <v>142.34</v>
      </c>
      <c r="Y55" s="10">
        <v>143.41</v>
      </c>
      <c r="Z55" s="10">
        <v>140.72</v>
      </c>
      <c r="AA55" s="10">
        <v>141.25</v>
      </c>
      <c r="AB55" s="94">
        <v>1591400</v>
      </c>
      <c r="AC55" s="10">
        <v>141.25</v>
      </c>
      <c r="AD55" s="2"/>
      <c r="AE55" s="137"/>
    </row>
    <row r="56" spans="1:31" x14ac:dyDescent="0.25">
      <c r="O56" s="82">
        <v>1</v>
      </c>
      <c r="P56" s="82">
        <f t="shared" si="0"/>
        <v>159.33000000000001</v>
      </c>
      <c r="Q56" s="2"/>
      <c r="T56" s="92" t="s">
        <v>111</v>
      </c>
      <c r="U56" s="432">
        <v>31.46</v>
      </c>
      <c r="W56" s="132">
        <v>42720</v>
      </c>
      <c r="X56" s="10">
        <v>143.47999999999999</v>
      </c>
      <c r="Y56" s="10">
        <v>145.31</v>
      </c>
      <c r="Z56" s="10">
        <v>142.25</v>
      </c>
      <c r="AA56" s="10">
        <v>142.54</v>
      </c>
      <c r="AB56" s="94">
        <v>2710500</v>
      </c>
      <c r="AC56" s="10">
        <v>142.54</v>
      </c>
      <c r="AD56" s="2"/>
      <c r="AE56" s="137"/>
    </row>
    <row r="57" spans="1:31" x14ac:dyDescent="0.25">
      <c r="O57" s="82">
        <v>0.99</v>
      </c>
      <c r="P57" s="82">
        <f t="shared" si="0"/>
        <v>157.73670000000001</v>
      </c>
      <c r="Q57" s="2"/>
      <c r="T57" s="92" t="s">
        <v>112</v>
      </c>
      <c r="U57" s="432">
        <v>5.09</v>
      </c>
      <c r="W57" s="132">
        <v>42719</v>
      </c>
      <c r="X57" s="10">
        <v>144</v>
      </c>
      <c r="Y57" s="10">
        <v>144.33000000000001</v>
      </c>
      <c r="Z57" s="10">
        <v>142.87</v>
      </c>
      <c r="AA57" s="10">
        <v>143.5</v>
      </c>
      <c r="AB57" s="94">
        <v>1849300</v>
      </c>
      <c r="AC57" s="10">
        <v>143.5</v>
      </c>
      <c r="AD57" s="2"/>
      <c r="AE57" s="137"/>
    </row>
    <row r="58" spans="1:31" x14ac:dyDescent="0.25">
      <c r="O58" s="82">
        <v>0.98</v>
      </c>
      <c r="P58" s="82">
        <f t="shared" si="0"/>
        <v>156.14340000000001</v>
      </c>
      <c r="Q58" s="2"/>
      <c r="T58" s="92" t="s">
        <v>109</v>
      </c>
      <c r="U58" s="432" t="s">
        <v>499</v>
      </c>
      <c r="W58" s="132">
        <v>42718</v>
      </c>
      <c r="X58" s="10">
        <v>145.57</v>
      </c>
      <c r="Y58" s="10">
        <v>146.03</v>
      </c>
      <c r="Z58" s="10">
        <v>143.22999999999999</v>
      </c>
      <c r="AA58" s="10">
        <v>143.80000000000001</v>
      </c>
      <c r="AB58" s="94">
        <v>1657300</v>
      </c>
      <c r="AC58" s="10">
        <v>143.80000000000001</v>
      </c>
      <c r="AD58" s="2"/>
      <c r="AE58" s="137"/>
    </row>
    <row r="59" spans="1:31" x14ac:dyDescent="0.25">
      <c r="O59" s="82">
        <v>0.97</v>
      </c>
      <c r="P59" s="82">
        <f t="shared" si="0"/>
        <v>154.55010000000001</v>
      </c>
      <c r="W59" s="132">
        <v>42717</v>
      </c>
      <c r="X59" s="10">
        <v>145.56</v>
      </c>
      <c r="Y59" s="10">
        <v>146.47999999999999</v>
      </c>
      <c r="Z59" s="10">
        <v>145.21</v>
      </c>
      <c r="AA59" s="10">
        <v>145.9</v>
      </c>
      <c r="AB59" s="94">
        <v>1254300</v>
      </c>
      <c r="AC59" s="10">
        <v>145.9</v>
      </c>
      <c r="AD59" s="2"/>
      <c r="AE59" s="137"/>
    </row>
    <row r="60" spans="1:31" x14ac:dyDescent="0.25">
      <c r="O60" s="82">
        <v>0.96</v>
      </c>
      <c r="P60" s="82">
        <f t="shared" si="0"/>
        <v>152.95680000000002</v>
      </c>
      <c r="W60" s="132">
        <v>42717</v>
      </c>
      <c r="X60" s="10" t="s">
        <v>179</v>
      </c>
      <c r="Y60" s="10"/>
      <c r="Z60" s="10"/>
      <c r="AA60" s="10"/>
      <c r="AB60" s="94"/>
      <c r="AC60" s="10"/>
      <c r="AD60" s="2"/>
      <c r="AE60" s="137"/>
    </row>
    <row r="61" spans="1:31" x14ac:dyDescent="0.25">
      <c r="O61" s="82">
        <v>0.95</v>
      </c>
      <c r="P61" s="82">
        <f t="shared" si="0"/>
        <v>151.36350000000002</v>
      </c>
      <c r="W61" s="132">
        <v>42716</v>
      </c>
      <c r="X61" s="10">
        <v>144.27000000000001</v>
      </c>
      <c r="Y61" s="10">
        <v>146.05000000000001</v>
      </c>
      <c r="Z61" s="10">
        <v>144.27000000000001</v>
      </c>
      <c r="AA61" s="10">
        <v>145.18</v>
      </c>
      <c r="AB61" s="94">
        <v>1390800</v>
      </c>
      <c r="AC61" s="10">
        <v>145.03</v>
      </c>
      <c r="AD61" s="2"/>
      <c r="AE61" s="137"/>
    </row>
    <row r="62" spans="1:31" x14ac:dyDescent="0.25">
      <c r="O62" s="82">
        <v>0.94</v>
      </c>
      <c r="P62" s="82">
        <f t="shared" si="0"/>
        <v>149.77020000000002</v>
      </c>
      <c r="W62" s="132">
        <v>42713</v>
      </c>
      <c r="X62" s="10">
        <v>143.81</v>
      </c>
      <c r="Y62" s="10">
        <v>145.65</v>
      </c>
      <c r="Z62" s="10">
        <v>143.75</v>
      </c>
      <c r="AA62" s="10">
        <v>145.41</v>
      </c>
      <c r="AB62" s="94">
        <v>1620400</v>
      </c>
      <c r="AC62" s="10">
        <v>145.26</v>
      </c>
      <c r="AD62" s="2"/>
      <c r="AE62" s="137"/>
    </row>
    <row r="63" spans="1:31" x14ac:dyDescent="0.25">
      <c r="O63" s="82">
        <v>0.93</v>
      </c>
      <c r="P63" s="82">
        <f t="shared" si="0"/>
        <v>148.17690000000002</v>
      </c>
      <c r="W63" s="132">
        <v>42712</v>
      </c>
      <c r="X63" s="10">
        <v>141.78</v>
      </c>
      <c r="Y63" s="10">
        <v>143.78</v>
      </c>
      <c r="Z63" s="10">
        <v>140.99</v>
      </c>
      <c r="AA63" s="10">
        <v>143.07</v>
      </c>
      <c r="AB63" s="94">
        <v>1819400</v>
      </c>
      <c r="AC63" s="10">
        <v>142.91999999999999</v>
      </c>
      <c r="AD63" s="2"/>
      <c r="AE63" s="137"/>
    </row>
    <row r="64" spans="1:31" x14ac:dyDescent="0.25">
      <c r="O64" s="82">
        <v>0.92</v>
      </c>
      <c r="P64" s="82">
        <f t="shared" si="0"/>
        <v>146.58360000000002</v>
      </c>
      <c r="W64" s="132">
        <v>42711</v>
      </c>
      <c r="X64" s="10">
        <v>142.88</v>
      </c>
      <c r="Y64" s="10">
        <v>142.91999999999999</v>
      </c>
      <c r="Z64" s="10">
        <v>140.06</v>
      </c>
      <c r="AA64" s="10">
        <v>141.85</v>
      </c>
      <c r="AB64" s="94">
        <v>2413500</v>
      </c>
      <c r="AC64" s="10">
        <v>141.69999999999999</v>
      </c>
      <c r="AD64" s="2"/>
      <c r="AE64" s="137"/>
    </row>
    <row r="65" spans="15:31" x14ac:dyDescent="0.25">
      <c r="O65" s="82">
        <v>0.91</v>
      </c>
      <c r="P65" s="82">
        <f t="shared" si="0"/>
        <v>144.99030000000002</v>
      </c>
      <c r="W65" s="132">
        <v>42710</v>
      </c>
      <c r="X65" s="10">
        <v>141.57</v>
      </c>
      <c r="Y65" s="10">
        <v>144.41999999999999</v>
      </c>
      <c r="Z65" s="10">
        <v>141.28</v>
      </c>
      <c r="AA65" s="10">
        <v>143.59</v>
      </c>
      <c r="AB65" s="94">
        <v>3759200</v>
      </c>
      <c r="AC65" s="10">
        <v>143.44</v>
      </c>
      <c r="AD65" s="2"/>
      <c r="AE65" s="137"/>
    </row>
    <row r="66" spans="15:31" x14ac:dyDescent="0.25">
      <c r="O66" s="82">
        <v>0.9</v>
      </c>
      <c r="P66" s="82">
        <f t="shared" si="0"/>
        <v>143.39700000000002</v>
      </c>
      <c r="W66" s="132">
        <v>42709</v>
      </c>
      <c r="X66" s="10">
        <v>143.05000000000001</v>
      </c>
      <c r="Y66" s="10">
        <v>144.85</v>
      </c>
      <c r="Z66" s="10">
        <v>141.13999999999999</v>
      </c>
      <c r="AA66" s="10">
        <v>141.38</v>
      </c>
      <c r="AB66" s="94">
        <v>2920800</v>
      </c>
      <c r="AC66" s="10">
        <v>141.22999999999999</v>
      </c>
      <c r="AD66" s="2"/>
      <c r="AE66" s="137"/>
    </row>
    <row r="67" spans="15:31" x14ac:dyDescent="0.25">
      <c r="W67" s="132">
        <v>42706</v>
      </c>
      <c r="X67" s="10">
        <v>139.6</v>
      </c>
      <c r="Y67" s="10">
        <v>143.16</v>
      </c>
      <c r="Z67" s="10">
        <v>139.32</v>
      </c>
      <c r="AA67" s="10">
        <v>141.91</v>
      </c>
      <c r="AB67" s="94">
        <v>3166100</v>
      </c>
      <c r="AC67" s="10">
        <v>141.76</v>
      </c>
      <c r="AD67" s="2"/>
      <c r="AE67" s="137"/>
    </row>
    <row r="68" spans="15:31" x14ac:dyDescent="0.25">
      <c r="W68" s="132">
        <v>42705</v>
      </c>
      <c r="X68" s="10">
        <v>140.47</v>
      </c>
      <c r="Y68" s="10">
        <v>140.66</v>
      </c>
      <c r="Z68" s="10">
        <v>139.07</v>
      </c>
      <c r="AA68" s="10">
        <v>139.63</v>
      </c>
      <c r="AB68" s="94">
        <v>2703400</v>
      </c>
      <c r="AC68" s="10">
        <v>139.49</v>
      </c>
      <c r="AD68" s="2"/>
      <c r="AE68" s="137"/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/>
      <c r="AE69" s="137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42797</v>
      </c>
      <c r="X2" s="10">
        <v>44.75</v>
      </c>
      <c r="Y2" s="10">
        <v>45.33</v>
      </c>
      <c r="Z2" s="10">
        <v>44.55</v>
      </c>
      <c r="AA2" s="10">
        <v>45</v>
      </c>
      <c r="AB2" s="94">
        <v>940600</v>
      </c>
      <c r="AC2" s="10">
        <v>45</v>
      </c>
      <c r="AD2" s="2">
        <f>Y2-Z2</f>
        <v>0.78000000000000114</v>
      </c>
      <c r="AE2" s="137">
        <f>AC2/AC3-1</f>
        <v>1.2373453318335059E-2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44.55</v>
      </c>
      <c r="W3" s="132">
        <v>42796</v>
      </c>
      <c r="X3" s="10">
        <v>45.55</v>
      </c>
      <c r="Y3" s="10">
        <v>45.75</v>
      </c>
      <c r="Z3" s="10">
        <v>44.35</v>
      </c>
      <c r="AA3" s="10">
        <v>44.45</v>
      </c>
      <c r="AB3" s="94">
        <v>656600</v>
      </c>
      <c r="AC3" s="10">
        <v>44.45</v>
      </c>
      <c r="AD3" s="2">
        <f t="shared" ref="AD3:AD66" si="0">Y3-Z3</f>
        <v>1.3999999999999986</v>
      </c>
      <c r="AE3" s="137">
        <f t="shared" ref="AE3:AE66" si="1">AC3/AC4-1</f>
        <v>-2.3076923076922995E-2</v>
      </c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M4" s="4"/>
      <c r="O4" s="11" t="s">
        <v>66</v>
      </c>
      <c r="Q4" s="55">
        <v>44.55</v>
      </c>
      <c r="R4" s="499">
        <v>2.7699999999999999E-2</v>
      </c>
      <c r="W4" s="132">
        <v>42795</v>
      </c>
      <c r="X4" s="10">
        <v>45.15</v>
      </c>
      <c r="Y4" s="10">
        <v>46.05</v>
      </c>
      <c r="Z4" s="10">
        <v>45.1</v>
      </c>
      <c r="AA4" s="10">
        <v>45.5</v>
      </c>
      <c r="AB4" s="94">
        <v>1318300</v>
      </c>
      <c r="AC4" s="10">
        <v>45.5</v>
      </c>
      <c r="AD4" s="2">
        <f t="shared" si="0"/>
        <v>0.94999999999999574</v>
      </c>
      <c r="AE4" s="137">
        <f t="shared" si="1"/>
        <v>2.9411764705882248E-2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42794</v>
      </c>
      <c r="X5" s="10">
        <v>44.4</v>
      </c>
      <c r="Y5" s="10">
        <v>44.55</v>
      </c>
      <c r="Z5" s="10">
        <v>44.05</v>
      </c>
      <c r="AA5" s="10">
        <v>44.2</v>
      </c>
      <c r="AB5" s="94">
        <v>817300</v>
      </c>
      <c r="AC5" s="10">
        <v>44.2</v>
      </c>
      <c r="AD5" s="2">
        <f t="shared" si="0"/>
        <v>0.5</v>
      </c>
      <c r="AE5" s="137">
        <f t="shared" si="1"/>
        <v>-8.9686098654707669E-3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42793</v>
      </c>
      <c r="X6" s="10">
        <v>43.15</v>
      </c>
      <c r="Y6" s="10">
        <v>44.68</v>
      </c>
      <c r="Z6" s="10">
        <v>43</v>
      </c>
      <c r="AA6" s="10">
        <v>44.6</v>
      </c>
      <c r="AB6" s="94">
        <v>1005400</v>
      </c>
      <c r="AC6" s="10">
        <v>44.6</v>
      </c>
      <c r="AD6" s="2">
        <f t="shared" si="0"/>
        <v>1.6799999999999997</v>
      </c>
      <c r="AE6" s="137">
        <f t="shared" si="1"/>
        <v>3.600464576074347E-2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42790</v>
      </c>
      <c r="X7" s="10">
        <v>42.5</v>
      </c>
      <c r="Y7" s="10">
        <v>43.15</v>
      </c>
      <c r="Z7" s="10">
        <v>42.15</v>
      </c>
      <c r="AA7" s="10">
        <v>43.05</v>
      </c>
      <c r="AB7" s="94">
        <v>736200</v>
      </c>
      <c r="AC7" s="10">
        <v>43.05</v>
      </c>
      <c r="AD7" s="2">
        <f t="shared" si="0"/>
        <v>1</v>
      </c>
      <c r="AE7" s="137">
        <f t="shared" si="1"/>
        <v>0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44.35</v>
      </c>
      <c r="Y8" s="10">
        <v>44.45</v>
      </c>
      <c r="Z8" s="10">
        <v>42.85</v>
      </c>
      <c r="AA8" s="10">
        <v>43.05</v>
      </c>
      <c r="AB8" s="94">
        <v>944000</v>
      </c>
      <c r="AC8" s="10">
        <v>43.05</v>
      </c>
      <c r="AD8" s="2">
        <f t="shared" si="0"/>
        <v>1.6000000000000014</v>
      </c>
      <c r="AE8" s="137">
        <f t="shared" si="1"/>
        <v>-2.491506228765572E-2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44.35</v>
      </c>
      <c r="Y9" s="10">
        <v>44.45</v>
      </c>
      <c r="Z9" s="10">
        <v>44.03</v>
      </c>
      <c r="AA9" s="10">
        <v>44.15</v>
      </c>
      <c r="AB9" s="94">
        <v>852000</v>
      </c>
      <c r="AC9" s="10">
        <v>44.15</v>
      </c>
      <c r="AD9" s="2">
        <f t="shared" si="0"/>
        <v>0.42000000000000171</v>
      </c>
      <c r="AE9" s="137">
        <f t="shared" si="1"/>
        <v>-1.3407821229050265E-2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42787</v>
      </c>
      <c r="X10" s="10">
        <v>44.55</v>
      </c>
      <c r="Y10" s="10">
        <v>44.95</v>
      </c>
      <c r="Z10" s="10">
        <v>44.3</v>
      </c>
      <c r="AA10" s="10">
        <v>44.75</v>
      </c>
      <c r="AB10" s="94">
        <v>671300</v>
      </c>
      <c r="AC10" s="10">
        <v>44.75</v>
      </c>
      <c r="AD10" s="2">
        <f t="shared" si="0"/>
        <v>0.65000000000000568</v>
      </c>
      <c r="AE10" s="137">
        <f t="shared" si="1"/>
        <v>5.6179775280897903E-3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2.3400000000000001E-2</v>
      </c>
      <c r="W11" s="132">
        <v>42783</v>
      </c>
      <c r="X11" s="10">
        <v>44</v>
      </c>
      <c r="Y11" s="10">
        <v>44.6</v>
      </c>
      <c r="Z11" s="10">
        <v>43.7</v>
      </c>
      <c r="AA11" s="10">
        <v>44.5</v>
      </c>
      <c r="AB11" s="94">
        <v>556100</v>
      </c>
      <c r="AC11" s="10">
        <v>44.5</v>
      </c>
      <c r="AD11" s="2">
        <f t="shared" si="0"/>
        <v>0.89999999999999858</v>
      </c>
      <c r="AE11" s="137" t="e">
        <f t="shared" si="1"/>
        <v>#DIV/0!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42783</v>
      </c>
      <c r="X12" s="10" t="s">
        <v>139</v>
      </c>
      <c r="Y12" s="10"/>
      <c r="Z12" s="10"/>
      <c r="AA12" s="10"/>
      <c r="AB12" s="94"/>
      <c r="AC12" s="10"/>
      <c r="AD12" s="2">
        <f t="shared" si="0"/>
        <v>0</v>
      </c>
      <c r="AE12" s="137">
        <f t="shared" si="1"/>
        <v>-1</v>
      </c>
    </row>
    <row r="13" spans="1:43" x14ac:dyDescent="0.25">
      <c r="W13" s="132">
        <v>42782</v>
      </c>
      <c r="X13" s="10">
        <v>44.85</v>
      </c>
      <c r="Y13" s="10">
        <v>45.05</v>
      </c>
      <c r="Z13" s="10">
        <v>44.1</v>
      </c>
      <c r="AA13" s="10">
        <v>44.55</v>
      </c>
      <c r="AB13" s="94">
        <v>751900</v>
      </c>
      <c r="AC13" s="10">
        <v>44.29</v>
      </c>
      <c r="AD13" s="2">
        <f t="shared" si="0"/>
        <v>0.94999999999999574</v>
      </c>
      <c r="AE13" s="137">
        <f t="shared" si="1"/>
        <v>-8.950548221078547E-3</v>
      </c>
    </row>
    <row r="14" spans="1:43" x14ac:dyDescent="0.25">
      <c r="W14" s="132">
        <v>42781</v>
      </c>
      <c r="X14" s="10">
        <v>45.25</v>
      </c>
      <c r="Y14" s="10">
        <v>45.5</v>
      </c>
      <c r="Z14" s="10">
        <v>44.75</v>
      </c>
      <c r="AA14" s="10">
        <v>44.95</v>
      </c>
      <c r="AB14" s="94">
        <v>1094300</v>
      </c>
      <c r="AC14" s="10">
        <v>44.69</v>
      </c>
      <c r="AD14" s="2">
        <f t="shared" si="0"/>
        <v>0.75</v>
      </c>
      <c r="AE14" s="137">
        <f t="shared" si="1"/>
        <v>-8.8711465956976543E-3</v>
      </c>
    </row>
    <row r="15" spans="1:43" x14ac:dyDescent="0.25">
      <c r="W15" s="132">
        <v>42780</v>
      </c>
      <c r="X15" s="10">
        <v>45.3</v>
      </c>
      <c r="Y15" s="10">
        <v>45.45</v>
      </c>
      <c r="Z15" s="10">
        <v>44.75</v>
      </c>
      <c r="AA15" s="10">
        <v>45.35</v>
      </c>
      <c r="AB15" s="94">
        <v>560700</v>
      </c>
      <c r="AC15" s="10">
        <v>45.09</v>
      </c>
      <c r="AD15" s="2">
        <f t="shared" si="0"/>
        <v>0.70000000000000284</v>
      </c>
      <c r="AE15" s="137">
        <f t="shared" si="1"/>
        <v>-4.1961130742048658E-3</v>
      </c>
    </row>
    <row r="16" spans="1:43" x14ac:dyDescent="0.25">
      <c r="W16" s="132">
        <v>42779</v>
      </c>
      <c r="X16" s="10">
        <v>45.35</v>
      </c>
      <c r="Y16" s="10">
        <v>46.45</v>
      </c>
      <c r="Z16" s="10">
        <v>45.25</v>
      </c>
      <c r="AA16" s="10">
        <v>45.55</v>
      </c>
      <c r="AB16" s="94">
        <v>1555800</v>
      </c>
      <c r="AC16" s="10">
        <v>45.28</v>
      </c>
      <c r="AD16" s="2">
        <f t="shared" si="0"/>
        <v>1.2000000000000028</v>
      </c>
      <c r="AE16" s="137">
        <f t="shared" si="1"/>
        <v>8.6879037647582535E-3</v>
      </c>
    </row>
    <row r="17" spans="1:31" x14ac:dyDescent="0.25">
      <c r="W17" s="132">
        <v>42776</v>
      </c>
      <c r="X17" s="10">
        <v>45</v>
      </c>
      <c r="Y17" s="10">
        <v>45.85</v>
      </c>
      <c r="Z17" s="10">
        <v>44.55</v>
      </c>
      <c r="AA17" s="10">
        <v>45.15</v>
      </c>
      <c r="AB17" s="94">
        <v>1300200</v>
      </c>
      <c r="AC17" s="10">
        <v>44.89</v>
      </c>
      <c r="AD17" s="2">
        <f t="shared" si="0"/>
        <v>1.3000000000000043</v>
      </c>
      <c r="AE17" s="137">
        <f t="shared" si="1"/>
        <v>1.9300635785649334E-2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42775</v>
      </c>
      <c r="X18" s="10">
        <v>44.45</v>
      </c>
      <c r="Y18" s="10">
        <v>45.1</v>
      </c>
      <c r="Z18" s="10">
        <v>42.55</v>
      </c>
      <c r="AA18" s="10">
        <v>44.3</v>
      </c>
      <c r="AB18" s="94">
        <v>1467200</v>
      </c>
      <c r="AC18" s="10">
        <v>44.04</v>
      </c>
      <c r="AD18" s="2">
        <f t="shared" si="0"/>
        <v>2.5500000000000043</v>
      </c>
      <c r="AE18" s="137">
        <f t="shared" si="1"/>
        <v>6.8587105624142719E-3</v>
      </c>
    </row>
    <row r="19" spans="1:31" x14ac:dyDescent="0.25">
      <c r="W19" s="132">
        <v>42774</v>
      </c>
      <c r="X19" s="10">
        <v>44.4</v>
      </c>
      <c r="Y19" s="10">
        <v>44.4</v>
      </c>
      <c r="Z19" s="10">
        <v>43.3</v>
      </c>
      <c r="AA19" s="10">
        <v>44</v>
      </c>
      <c r="AB19" s="94">
        <v>1220000</v>
      </c>
      <c r="AC19" s="10">
        <v>43.74</v>
      </c>
      <c r="AD19" s="2">
        <f t="shared" si="0"/>
        <v>1.1000000000000014</v>
      </c>
      <c r="AE19" s="137">
        <f t="shared" si="1"/>
        <v>-1.1301989150090397E-2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42773</v>
      </c>
      <c r="X20" s="10">
        <v>45.05</v>
      </c>
      <c r="Y20" s="10">
        <v>45.2</v>
      </c>
      <c r="Z20" s="10">
        <v>44.2</v>
      </c>
      <c r="AA20" s="10">
        <v>44.5</v>
      </c>
      <c r="AB20" s="94">
        <v>690900</v>
      </c>
      <c r="AC20" s="10">
        <v>44.24</v>
      </c>
      <c r="AD20" s="2">
        <f t="shared" si="0"/>
        <v>1</v>
      </c>
      <c r="AE20" s="137">
        <f t="shared" si="1"/>
        <v>-5.6192402787142992E-3</v>
      </c>
    </row>
    <row r="21" spans="1:31" x14ac:dyDescent="0.25">
      <c r="B21" s="192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1">
        <f t="shared" ref="H21:H31" si="3">IF(C21=0, D21, (E21-D21)/D21)</f>
        <v>-3.3254954652334516E-2</v>
      </c>
      <c r="I21" s="40"/>
      <c r="W21" s="132">
        <v>42772</v>
      </c>
      <c r="X21" s="10">
        <v>44.6</v>
      </c>
      <c r="Y21" s="10">
        <v>44.9</v>
      </c>
      <c r="Z21" s="10">
        <v>44.47</v>
      </c>
      <c r="AA21" s="10">
        <v>44.75</v>
      </c>
      <c r="AB21" s="94">
        <v>1225000</v>
      </c>
      <c r="AC21" s="10">
        <v>44.49</v>
      </c>
      <c r="AD21" s="2">
        <f t="shared" si="0"/>
        <v>0.42999999999999972</v>
      </c>
      <c r="AE21" s="137">
        <f t="shared" si="1"/>
        <v>3.3829499323410062E-3</v>
      </c>
    </row>
    <row r="22" spans="1:31" x14ac:dyDescent="0.25">
      <c r="B22" s="192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1">
        <f t="shared" si="3"/>
        <v>4.4368600682593878E-2</v>
      </c>
      <c r="I22" s="40"/>
      <c r="W22" s="132">
        <v>42769</v>
      </c>
      <c r="X22" s="10">
        <v>44.3</v>
      </c>
      <c r="Y22" s="10">
        <v>44.8</v>
      </c>
      <c r="Z22" s="10">
        <v>44.1</v>
      </c>
      <c r="AA22" s="10">
        <v>44.6</v>
      </c>
      <c r="AB22" s="94">
        <v>790100</v>
      </c>
      <c r="AC22" s="10">
        <v>44.34</v>
      </c>
      <c r="AD22" s="2">
        <f t="shared" si="0"/>
        <v>0.69999999999999574</v>
      </c>
      <c r="AE22" s="137">
        <f t="shared" si="1"/>
        <v>9.1033227127903515E-3</v>
      </c>
    </row>
    <row r="23" spans="1:31" x14ac:dyDescent="0.25">
      <c r="B23" s="192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1">
        <f t="shared" si="3"/>
        <v>0.22486772486772469</v>
      </c>
      <c r="I23" s="40"/>
      <c r="W23" s="132">
        <v>42768</v>
      </c>
      <c r="X23" s="10">
        <v>44.6</v>
      </c>
      <c r="Y23" s="10">
        <v>44.85</v>
      </c>
      <c r="Z23" s="10">
        <v>43.9</v>
      </c>
      <c r="AA23" s="10">
        <v>44.2</v>
      </c>
      <c r="AB23" s="94">
        <v>535500</v>
      </c>
      <c r="AC23" s="10">
        <v>43.94</v>
      </c>
      <c r="AD23" s="2">
        <f t="shared" si="0"/>
        <v>0.95000000000000284</v>
      </c>
      <c r="AE23" s="137">
        <f t="shared" si="1"/>
        <v>-1.2362328613171547E-2</v>
      </c>
    </row>
    <row r="24" spans="1:31" x14ac:dyDescent="0.25">
      <c r="B24" s="192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1">
        <f t="shared" si="3"/>
        <v>0.17862595419847327</v>
      </c>
      <c r="I24" s="40"/>
      <c r="W24" s="132">
        <v>42767</v>
      </c>
      <c r="X24" s="10">
        <v>44.65</v>
      </c>
      <c r="Y24" s="10">
        <v>44.9</v>
      </c>
      <c r="Z24" s="10">
        <v>44.1</v>
      </c>
      <c r="AA24" s="10">
        <v>44.75</v>
      </c>
      <c r="AB24" s="94">
        <v>578300</v>
      </c>
      <c r="AC24" s="10">
        <v>44.49</v>
      </c>
      <c r="AD24" s="2">
        <f t="shared" si="0"/>
        <v>0.79999999999999716</v>
      </c>
      <c r="AE24" s="137">
        <f t="shared" si="1"/>
        <v>7.9293158133213471E-3</v>
      </c>
    </row>
    <row r="25" spans="1:31" x14ac:dyDescent="0.25">
      <c r="B25" s="192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1">
        <f t="shared" si="3"/>
        <v>9.8854961832061064E-2</v>
      </c>
      <c r="I25" s="40"/>
      <c r="W25" s="132">
        <v>42766</v>
      </c>
      <c r="X25" s="10">
        <v>44.6</v>
      </c>
      <c r="Y25" s="10">
        <v>44.6</v>
      </c>
      <c r="Z25" s="10">
        <v>43.51</v>
      </c>
      <c r="AA25" s="10">
        <v>44.4</v>
      </c>
      <c r="AB25" s="94">
        <v>737100</v>
      </c>
      <c r="AC25" s="10">
        <v>44.14</v>
      </c>
      <c r="AD25" s="2">
        <f t="shared" si="0"/>
        <v>1.0900000000000034</v>
      </c>
      <c r="AE25" s="137">
        <f t="shared" si="1"/>
        <v>-7.8669363902000855E-3</v>
      </c>
    </row>
    <row r="26" spans="1:31" x14ac:dyDescent="0.25">
      <c r="B26" s="192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1">
        <f t="shared" si="3"/>
        <v>2.7516019600452333E-2</v>
      </c>
      <c r="I26" s="40"/>
      <c r="W26" s="132">
        <v>42765</v>
      </c>
      <c r="X26" s="10">
        <v>45.1</v>
      </c>
      <c r="Y26" s="10">
        <v>45.15</v>
      </c>
      <c r="Z26" s="10">
        <v>44.55</v>
      </c>
      <c r="AA26" s="10">
        <v>44.75</v>
      </c>
      <c r="AB26" s="94">
        <v>1185000</v>
      </c>
      <c r="AC26" s="10">
        <v>44.49</v>
      </c>
      <c r="AD26" s="2">
        <f t="shared" si="0"/>
        <v>0.60000000000000142</v>
      </c>
      <c r="AE26" s="137">
        <f t="shared" si="1"/>
        <v>-1.4399645547186535E-2</v>
      </c>
    </row>
    <row r="27" spans="1:31" x14ac:dyDescent="0.25">
      <c r="B27" s="192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1">
        <f t="shared" si="3"/>
        <v>0.12293794186959933</v>
      </c>
      <c r="I27" s="40"/>
      <c r="W27" s="132">
        <v>42762</v>
      </c>
      <c r="X27" s="10">
        <v>44.65</v>
      </c>
      <c r="Y27" s="10">
        <v>45.6</v>
      </c>
      <c r="Z27" s="10">
        <v>44.65</v>
      </c>
      <c r="AA27" s="10">
        <v>45.4</v>
      </c>
      <c r="AB27" s="94">
        <v>2029400</v>
      </c>
      <c r="AC27" s="10">
        <v>45.14</v>
      </c>
      <c r="AD27" s="2">
        <f t="shared" si="0"/>
        <v>0.95000000000000284</v>
      </c>
      <c r="AE27" s="137">
        <f t="shared" si="1"/>
        <v>3.3188372625314821E-2</v>
      </c>
    </row>
    <row r="28" spans="1:31" x14ac:dyDescent="0.25">
      <c r="B28" s="192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1">
        <f t="shared" si="3"/>
        <v>2.2596706242818839E-2</v>
      </c>
      <c r="I28" s="40"/>
      <c r="W28" s="132">
        <v>42761</v>
      </c>
      <c r="X28" s="10">
        <v>44.45</v>
      </c>
      <c r="Y28" s="10">
        <v>44.75</v>
      </c>
      <c r="Z28" s="10">
        <v>43.85</v>
      </c>
      <c r="AA28" s="10">
        <v>43.95</v>
      </c>
      <c r="AB28" s="94">
        <v>687800</v>
      </c>
      <c r="AC28" s="10">
        <v>43.69</v>
      </c>
      <c r="AD28" s="2">
        <f t="shared" si="0"/>
        <v>0.89999999999999858</v>
      </c>
      <c r="AE28" s="137">
        <f t="shared" si="1"/>
        <v>-1.6876687668766932E-2</v>
      </c>
    </row>
    <row r="29" spans="1:31" x14ac:dyDescent="0.25">
      <c r="B29" s="192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1">
        <f t="shared" si="3"/>
        <v>7.3152049023362697E-2</v>
      </c>
      <c r="I29" s="40"/>
      <c r="W29" s="132">
        <v>42760</v>
      </c>
      <c r="X29" s="10">
        <v>44.4</v>
      </c>
      <c r="Y29" s="10">
        <v>44.75</v>
      </c>
      <c r="Z29" s="10">
        <v>44.05</v>
      </c>
      <c r="AA29" s="10">
        <v>44.7</v>
      </c>
      <c r="AB29" s="94">
        <v>901000</v>
      </c>
      <c r="AC29" s="10">
        <v>44.44</v>
      </c>
      <c r="AD29" s="2">
        <f t="shared" si="0"/>
        <v>0.70000000000000284</v>
      </c>
      <c r="AE29" s="137">
        <f t="shared" si="1"/>
        <v>1.2531328320801949E-2</v>
      </c>
    </row>
    <row r="30" spans="1:31" x14ac:dyDescent="0.25">
      <c r="B30" s="192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1">
        <f t="shared" si="3"/>
        <v>0.23922231614539308</v>
      </c>
      <c r="I30" s="40"/>
      <c r="W30" s="132">
        <v>42759</v>
      </c>
      <c r="X30" s="10">
        <v>43</v>
      </c>
      <c r="Y30" s="10">
        <v>44.38</v>
      </c>
      <c r="Z30" s="10">
        <v>42.6</v>
      </c>
      <c r="AA30" s="10">
        <v>44.15</v>
      </c>
      <c r="AB30" s="94">
        <v>890800</v>
      </c>
      <c r="AC30" s="10">
        <v>43.89</v>
      </c>
      <c r="AD30" s="2">
        <f t="shared" si="0"/>
        <v>1.7800000000000011</v>
      </c>
      <c r="AE30" s="137">
        <f t="shared" si="1"/>
        <v>3.7588652482269502E-2</v>
      </c>
    </row>
    <row r="31" spans="1:31" x14ac:dyDescent="0.25">
      <c r="B31" s="192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1">
        <f t="shared" si="3"/>
        <v>0</v>
      </c>
      <c r="I31" s="40"/>
      <c r="W31" s="132">
        <v>42758</v>
      </c>
      <c r="X31" s="10">
        <v>42.75</v>
      </c>
      <c r="Y31" s="10">
        <v>42.95</v>
      </c>
      <c r="Z31" s="10">
        <v>42.03</v>
      </c>
      <c r="AA31" s="10">
        <v>42.55</v>
      </c>
      <c r="AB31" s="94">
        <v>595300</v>
      </c>
      <c r="AC31" s="10">
        <v>42.3</v>
      </c>
      <c r="AD31" s="2">
        <f t="shared" si="0"/>
        <v>0.92000000000000171</v>
      </c>
      <c r="AE31" s="137">
        <f t="shared" si="1"/>
        <v>-9.3676814988291612E-3</v>
      </c>
    </row>
    <row r="32" spans="1:31" x14ac:dyDescent="0.25">
      <c r="B32" s="10"/>
      <c r="C32" s="10"/>
      <c r="D32" s="40"/>
      <c r="E32" s="40"/>
      <c r="F32" s="40"/>
      <c r="G32" s="40"/>
      <c r="H32" s="231"/>
      <c r="I32" s="40"/>
      <c r="W32" s="132">
        <v>42755</v>
      </c>
      <c r="X32" s="10">
        <v>43.45</v>
      </c>
      <c r="Y32" s="10">
        <v>43.65</v>
      </c>
      <c r="Z32" s="10">
        <v>42.73</v>
      </c>
      <c r="AA32" s="10">
        <v>42.95</v>
      </c>
      <c r="AB32" s="94">
        <v>632900</v>
      </c>
      <c r="AC32" s="10">
        <v>42.7</v>
      </c>
      <c r="AD32" s="2">
        <f t="shared" si="0"/>
        <v>0.92000000000000171</v>
      </c>
      <c r="AE32" s="137">
        <f t="shared" si="1"/>
        <v>-9.2807424593966958E-3</v>
      </c>
    </row>
    <row r="33" spans="1:31" x14ac:dyDescent="0.25">
      <c r="W33" s="132">
        <v>42754</v>
      </c>
      <c r="X33" s="10">
        <v>44.25</v>
      </c>
      <c r="Y33" s="10">
        <v>44.3</v>
      </c>
      <c r="Z33" s="10">
        <v>43.2</v>
      </c>
      <c r="AA33" s="10">
        <v>43.35</v>
      </c>
      <c r="AB33" s="94">
        <v>690500</v>
      </c>
      <c r="AC33" s="10">
        <v>43.1</v>
      </c>
      <c r="AD33" s="2">
        <f t="shared" si="0"/>
        <v>1.0999999999999943</v>
      </c>
      <c r="AE33" s="137">
        <f t="shared" si="1"/>
        <v>-1.1241110346409733E-2</v>
      </c>
    </row>
    <row r="34" spans="1:31" x14ac:dyDescent="0.25">
      <c r="W34" s="132">
        <v>42753</v>
      </c>
      <c r="X34" s="10">
        <v>43.8</v>
      </c>
      <c r="Y34" s="10">
        <v>44.05</v>
      </c>
      <c r="Z34" s="10">
        <v>43.65</v>
      </c>
      <c r="AA34" s="10">
        <v>43.85</v>
      </c>
      <c r="AB34" s="94">
        <v>1013000</v>
      </c>
      <c r="AC34" s="10">
        <v>43.59</v>
      </c>
      <c r="AD34" s="2">
        <f t="shared" si="0"/>
        <v>0.39999999999999858</v>
      </c>
      <c r="AE34" s="137">
        <f t="shared" si="1"/>
        <v>1.1483693155720509E-3</v>
      </c>
    </row>
    <row r="35" spans="1:31" x14ac:dyDescent="0.25">
      <c r="W35" s="132">
        <v>42752</v>
      </c>
      <c r="X35" s="10">
        <v>43.85</v>
      </c>
      <c r="Y35" s="10">
        <v>44.2</v>
      </c>
      <c r="Z35" s="10">
        <v>43.55</v>
      </c>
      <c r="AA35" s="10">
        <v>43.8</v>
      </c>
      <c r="AB35" s="94">
        <v>1107200</v>
      </c>
      <c r="AC35" s="10">
        <v>43.54</v>
      </c>
      <c r="AD35" s="2">
        <f t="shared" si="0"/>
        <v>0.65000000000000568</v>
      </c>
      <c r="AE35" s="137">
        <f t="shared" si="1"/>
        <v>-9.1033227127901295E-3</v>
      </c>
    </row>
    <row r="36" spans="1:31" x14ac:dyDescent="0.25">
      <c r="L36" t="s">
        <v>212</v>
      </c>
      <c r="M36" s="2">
        <f>M47+K47-F47</f>
        <v>529.88000000000284</v>
      </c>
      <c r="W36" s="132">
        <v>42748</v>
      </c>
      <c r="X36" s="10">
        <v>43.1</v>
      </c>
      <c r="Y36" s="10">
        <v>44.55</v>
      </c>
      <c r="Z36" s="10">
        <v>43.05</v>
      </c>
      <c r="AA36" s="10">
        <v>44.2</v>
      </c>
      <c r="AB36" s="94">
        <v>832700</v>
      </c>
      <c r="AC36" s="10">
        <v>43.94</v>
      </c>
      <c r="AD36" s="2">
        <f t="shared" si="0"/>
        <v>1.5</v>
      </c>
      <c r="AE36" s="137">
        <f t="shared" si="1"/>
        <v>3.1455399061032674E-2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4" t="s">
        <v>5</v>
      </c>
      <c r="E37" s="386" t="s">
        <v>94</v>
      </c>
      <c r="F37" s="384" t="s">
        <v>60</v>
      </c>
      <c r="G37" s="384" t="s">
        <v>3</v>
      </c>
      <c r="H37" s="384" t="s">
        <v>6</v>
      </c>
      <c r="I37" s="384" t="s">
        <v>7</v>
      </c>
      <c r="J37" s="384" t="s">
        <v>95</v>
      </c>
      <c r="K37" s="384" t="s">
        <v>61</v>
      </c>
      <c r="L37" s="384" t="s">
        <v>77</v>
      </c>
      <c r="M37" s="384" t="s">
        <v>38</v>
      </c>
      <c r="W37" s="132">
        <v>42747</v>
      </c>
      <c r="X37" s="10">
        <v>43.35</v>
      </c>
      <c r="Y37" s="10">
        <v>43.35</v>
      </c>
      <c r="Z37" s="10">
        <v>42.35</v>
      </c>
      <c r="AA37" s="10">
        <v>42.85</v>
      </c>
      <c r="AB37" s="94">
        <v>822500</v>
      </c>
      <c r="AC37" s="10">
        <v>42.6</v>
      </c>
      <c r="AD37" s="2">
        <f t="shared" si="0"/>
        <v>1</v>
      </c>
      <c r="AE37" s="137">
        <f t="shared" si="1"/>
        <v>-1.1600928074245953E-2</v>
      </c>
    </row>
    <row r="38" spans="1:31" x14ac:dyDescent="0.25">
      <c r="A38" s="387" t="s">
        <v>39</v>
      </c>
      <c r="B38" s="377">
        <v>42179</v>
      </c>
      <c r="C38" s="378">
        <v>10</v>
      </c>
      <c r="D38" s="379">
        <v>37.799999999999997</v>
      </c>
      <c r="E38" s="379">
        <v>0</v>
      </c>
      <c r="F38" s="379">
        <f t="shared" ref="F38:F45" si="4">C38*D38</f>
        <v>378</v>
      </c>
      <c r="G38" s="377">
        <v>42310</v>
      </c>
      <c r="H38" s="382">
        <v>170</v>
      </c>
      <c r="I38" s="379">
        <v>30.28</v>
      </c>
      <c r="J38" s="379">
        <v>7.04</v>
      </c>
      <c r="K38" s="378">
        <f>H38*I38-J38</f>
        <v>5140.5600000000004</v>
      </c>
      <c r="L38" s="377">
        <v>42250</v>
      </c>
      <c r="M38" s="379">
        <v>20.8</v>
      </c>
      <c r="W38" s="132">
        <v>42746</v>
      </c>
      <c r="X38" s="10">
        <v>43.1</v>
      </c>
      <c r="Y38" s="10">
        <v>43.43</v>
      </c>
      <c r="Z38" s="10">
        <v>42.85</v>
      </c>
      <c r="AA38" s="10">
        <v>43.35</v>
      </c>
      <c r="AB38" s="94">
        <v>1160500</v>
      </c>
      <c r="AC38" s="10">
        <v>43.1</v>
      </c>
      <c r="AD38" s="2">
        <f t="shared" si="0"/>
        <v>0.57999999999999829</v>
      </c>
      <c r="AE38" s="137">
        <f t="shared" si="1"/>
        <v>2.3752969121140222E-2</v>
      </c>
    </row>
    <row r="39" spans="1:31" x14ac:dyDescent="0.25">
      <c r="A39" s="388" t="s">
        <v>71</v>
      </c>
      <c r="B39" s="377">
        <v>42194</v>
      </c>
      <c r="C39" s="378">
        <v>10</v>
      </c>
      <c r="D39" s="379">
        <v>35.5</v>
      </c>
      <c r="E39" s="379">
        <v>0</v>
      </c>
      <c r="F39" s="379">
        <f t="shared" si="4"/>
        <v>355</v>
      </c>
      <c r="G39" s="377">
        <v>42314</v>
      </c>
      <c r="H39" s="382">
        <v>80</v>
      </c>
      <c r="I39" s="379">
        <v>32.5</v>
      </c>
      <c r="J39" s="379">
        <v>0.05</v>
      </c>
      <c r="K39" s="378">
        <f>H39*I39-J39</f>
        <v>2599.9499999999998</v>
      </c>
      <c r="L39" s="377">
        <v>42345</v>
      </c>
      <c r="M39" s="379">
        <v>23.4</v>
      </c>
      <c r="W39" s="132">
        <v>42745</v>
      </c>
      <c r="X39" s="10">
        <v>41.8</v>
      </c>
      <c r="Y39" s="10">
        <v>42.45</v>
      </c>
      <c r="Z39" s="10">
        <v>41.2</v>
      </c>
      <c r="AA39" s="10">
        <v>42.35</v>
      </c>
      <c r="AB39" s="94">
        <v>1361300</v>
      </c>
      <c r="AC39" s="10">
        <v>42.1</v>
      </c>
      <c r="AD39" s="2">
        <f t="shared" si="0"/>
        <v>1.25</v>
      </c>
      <c r="AE39" s="137">
        <f t="shared" si="1"/>
        <v>1.7891682785299956E-2</v>
      </c>
    </row>
    <row r="40" spans="1:31" x14ac:dyDescent="0.25">
      <c r="A40" s="378"/>
      <c r="B40" s="377">
        <v>42230</v>
      </c>
      <c r="C40" s="378">
        <v>20</v>
      </c>
      <c r="D40" s="379">
        <v>32.9</v>
      </c>
      <c r="E40" s="379">
        <v>0</v>
      </c>
      <c r="F40" s="379">
        <f t="shared" si="4"/>
        <v>658</v>
      </c>
      <c r="G40" s="377">
        <v>42010</v>
      </c>
      <c r="H40" s="382">
        <v>40</v>
      </c>
      <c r="I40" s="378">
        <v>28.92</v>
      </c>
      <c r="J40" s="379">
        <v>0.02</v>
      </c>
      <c r="K40" s="378">
        <f>H40*I40-J40</f>
        <v>1156.7800000000002</v>
      </c>
      <c r="L40" s="378"/>
      <c r="M40" s="378"/>
      <c r="W40" s="132">
        <v>42744</v>
      </c>
      <c r="X40" s="10">
        <v>41.9</v>
      </c>
      <c r="Y40" s="10">
        <v>42.1</v>
      </c>
      <c r="Z40" s="10">
        <v>41.2</v>
      </c>
      <c r="AA40" s="10">
        <v>41.6</v>
      </c>
      <c r="AB40" s="94">
        <v>804900</v>
      </c>
      <c r="AC40" s="10">
        <v>41.36</v>
      </c>
      <c r="AD40" s="2">
        <f t="shared" si="0"/>
        <v>0.89999999999999858</v>
      </c>
      <c r="AE40" s="137">
        <f t="shared" si="1"/>
        <v>-1.2887828162291171E-2</v>
      </c>
    </row>
    <row r="41" spans="1:31" x14ac:dyDescent="0.25">
      <c r="A41" s="378"/>
      <c r="B41" s="377">
        <v>42240</v>
      </c>
      <c r="C41" s="378">
        <v>40</v>
      </c>
      <c r="D41" s="379">
        <v>32.4</v>
      </c>
      <c r="E41" s="379">
        <v>0</v>
      </c>
      <c r="F41" s="379">
        <f t="shared" si="4"/>
        <v>1296</v>
      </c>
      <c r="G41" s="377">
        <v>42404</v>
      </c>
      <c r="H41" s="382">
        <v>90</v>
      </c>
      <c r="I41" s="379">
        <v>28.55</v>
      </c>
      <c r="J41" s="379">
        <v>0.05</v>
      </c>
      <c r="K41" s="378">
        <f>H41*I41-J41</f>
        <v>2569.4499999999998</v>
      </c>
      <c r="L41" s="378"/>
      <c r="M41" s="378"/>
      <c r="W41" s="132">
        <v>42741</v>
      </c>
      <c r="X41" s="10">
        <v>41.5</v>
      </c>
      <c r="Y41" s="10">
        <v>42.35</v>
      </c>
      <c r="Z41" s="10">
        <v>41.3</v>
      </c>
      <c r="AA41" s="10">
        <v>42.15</v>
      </c>
      <c r="AB41" s="94">
        <v>1547500</v>
      </c>
      <c r="AC41" s="10">
        <v>41.9</v>
      </c>
      <c r="AD41" s="2">
        <f t="shared" si="0"/>
        <v>1.0500000000000043</v>
      </c>
      <c r="AE41" s="137">
        <f t="shared" si="1"/>
        <v>1.551139117789635E-2</v>
      </c>
    </row>
    <row r="42" spans="1:31" ht="20.25" thickBot="1" x14ac:dyDescent="0.35">
      <c r="A42" s="378"/>
      <c r="B42" s="377">
        <v>42275</v>
      </c>
      <c r="C42" s="378">
        <v>90</v>
      </c>
      <c r="D42" s="379">
        <v>29.2</v>
      </c>
      <c r="E42" s="379">
        <v>0</v>
      </c>
      <c r="F42" s="379">
        <f t="shared" si="4"/>
        <v>2628</v>
      </c>
      <c r="G42" s="377">
        <v>42412</v>
      </c>
      <c r="H42" s="382">
        <v>90</v>
      </c>
      <c r="I42" s="379">
        <v>29.55</v>
      </c>
      <c r="J42" s="379">
        <v>0.06</v>
      </c>
      <c r="K42" s="378">
        <f>H42*I42-J42</f>
        <v>2659.44</v>
      </c>
      <c r="L42" s="378"/>
      <c r="M42" s="378"/>
      <c r="O42" s="415" t="s">
        <v>78</v>
      </c>
      <c r="P42" s="415"/>
      <c r="T42" s="90" t="s">
        <v>113</v>
      </c>
      <c r="W42" s="132">
        <v>42740</v>
      </c>
      <c r="X42" s="10">
        <v>41.55</v>
      </c>
      <c r="Y42" s="10">
        <v>42.15</v>
      </c>
      <c r="Z42" s="10">
        <v>40.950000000000003</v>
      </c>
      <c r="AA42" s="10">
        <v>41.5</v>
      </c>
      <c r="AB42" s="94">
        <v>719700</v>
      </c>
      <c r="AC42" s="10">
        <v>41.26</v>
      </c>
      <c r="AD42" s="2">
        <f t="shared" si="0"/>
        <v>1.1999999999999957</v>
      </c>
      <c r="AE42" s="137">
        <f t="shared" si="1"/>
        <v>1.2132977432661729E-3</v>
      </c>
    </row>
    <row r="43" spans="1:31" ht="15.75" thickTop="1" x14ac:dyDescent="0.25">
      <c r="A43" s="378"/>
      <c r="B43" s="377">
        <v>42298</v>
      </c>
      <c r="C43" s="378">
        <v>170</v>
      </c>
      <c r="D43" s="379">
        <v>28.4</v>
      </c>
      <c r="E43" s="379">
        <v>0</v>
      </c>
      <c r="F43" s="379">
        <f t="shared" si="4"/>
        <v>4828</v>
      </c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49.005000000000003</v>
      </c>
      <c r="T43" s="92" t="s">
        <v>98</v>
      </c>
      <c r="U43" s="432">
        <v>44.45</v>
      </c>
      <c r="W43" s="132">
        <v>42739</v>
      </c>
      <c r="X43" s="10">
        <v>41.05</v>
      </c>
      <c r="Y43" s="10">
        <v>41.75</v>
      </c>
      <c r="Z43" s="10">
        <v>40.9</v>
      </c>
      <c r="AA43" s="10">
        <v>41.45</v>
      </c>
      <c r="AB43" s="94">
        <v>1304000</v>
      </c>
      <c r="AC43" s="10">
        <v>41.21</v>
      </c>
      <c r="AD43" s="2">
        <f t="shared" si="0"/>
        <v>0.85000000000000142</v>
      </c>
      <c r="AE43" s="137">
        <f t="shared" si="1"/>
        <v>1.2281994595922274E-2</v>
      </c>
    </row>
    <row r="44" spans="1:31" x14ac:dyDescent="0.25">
      <c r="A44" s="378"/>
      <c r="B44" s="377">
        <v>42360</v>
      </c>
      <c r="C44" s="378">
        <v>40</v>
      </c>
      <c r="D44" s="379">
        <v>27.25</v>
      </c>
      <c r="E44" s="379">
        <v>0</v>
      </c>
      <c r="F44" s="379">
        <f t="shared" si="4"/>
        <v>1090</v>
      </c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5">O44*$Q$4</f>
        <v>48.5595</v>
      </c>
      <c r="T44" s="92" t="s">
        <v>99</v>
      </c>
      <c r="U44" s="432">
        <v>44.75</v>
      </c>
      <c r="W44" s="132">
        <v>42738</v>
      </c>
      <c r="X44" s="10">
        <v>40.25</v>
      </c>
      <c r="Y44" s="10">
        <v>41.15</v>
      </c>
      <c r="Z44" s="10">
        <v>40.049999999999997</v>
      </c>
      <c r="AA44" s="10">
        <v>40.950000000000003</v>
      </c>
      <c r="AB44" s="94">
        <v>1053800</v>
      </c>
      <c r="AC44" s="10">
        <v>40.71</v>
      </c>
      <c r="AD44" s="2">
        <f t="shared" si="0"/>
        <v>1.1000000000000014</v>
      </c>
      <c r="AE44" s="137">
        <f t="shared" si="1"/>
        <v>3.1416265518115161E-2</v>
      </c>
    </row>
    <row r="45" spans="1:31" x14ac:dyDescent="0.25">
      <c r="A45" s="378"/>
      <c r="B45" s="377">
        <v>42376</v>
      </c>
      <c r="C45" s="378">
        <v>90</v>
      </c>
      <c r="D45" s="379">
        <v>26.75</v>
      </c>
      <c r="E45" s="379">
        <v>0</v>
      </c>
      <c r="F45" s="379">
        <f t="shared" si="4"/>
        <v>2407.5</v>
      </c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5"/>
        <v>48.113999999999997</v>
      </c>
      <c r="T45" s="92" t="s">
        <v>100</v>
      </c>
      <c r="U45" s="432" t="s">
        <v>129</v>
      </c>
      <c r="W45" s="132">
        <v>42734</v>
      </c>
      <c r="X45" s="10">
        <v>40</v>
      </c>
      <c r="Y45" s="10">
        <v>40</v>
      </c>
      <c r="Z45" s="10">
        <v>39.4</v>
      </c>
      <c r="AA45" s="10">
        <v>39.700000000000003</v>
      </c>
      <c r="AB45" s="94">
        <v>412900</v>
      </c>
      <c r="AC45" s="10">
        <v>39.47</v>
      </c>
      <c r="AD45" s="2">
        <f t="shared" si="0"/>
        <v>0.60000000000000142</v>
      </c>
      <c r="AE45" s="137">
        <f t="shared" si="1"/>
        <v>-6.2940584088619911E-3</v>
      </c>
    </row>
    <row r="46" spans="1:31" x14ac:dyDescent="0.25">
      <c r="A46" s="378"/>
      <c r="B46" s="378"/>
      <c r="C46" s="378"/>
      <c r="D46" s="378"/>
      <c r="E46" s="379"/>
      <c r="F46" s="378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5"/>
        <v>47.668500000000002</v>
      </c>
      <c r="Q46" s="2"/>
      <c r="T46" s="92" t="s">
        <v>101</v>
      </c>
      <c r="U46" s="432" t="s">
        <v>129</v>
      </c>
      <c r="W46" s="132">
        <v>42733</v>
      </c>
      <c r="X46" s="10">
        <v>40.049999999999997</v>
      </c>
      <c r="Y46" s="10">
        <v>40.25</v>
      </c>
      <c r="Z46" s="10">
        <v>39.799999999999997</v>
      </c>
      <c r="AA46" s="10">
        <v>39.950000000000003</v>
      </c>
      <c r="AB46" s="94">
        <v>343300</v>
      </c>
      <c r="AC46" s="10">
        <v>39.72</v>
      </c>
      <c r="AD46" s="2">
        <f t="shared" si="0"/>
        <v>0.45000000000000284</v>
      </c>
      <c r="AE46" s="137">
        <f t="shared" si="1"/>
        <v>0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47.222999999999999</v>
      </c>
      <c r="Q47" s="2"/>
      <c r="T47" s="92" t="s">
        <v>102</v>
      </c>
      <c r="U47" s="432">
        <v>49.67</v>
      </c>
      <c r="W47" s="132">
        <v>42732</v>
      </c>
      <c r="X47" s="10">
        <v>40.799999999999997</v>
      </c>
      <c r="Y47" s="10">
        <v>41.05</v>
      </c>
      <c r="Z47" s="10">
        <v>39.75</v>
      </c>
      <c r="AA47" s="10">
        <v>39.950000000000003</v>
      </c>
      <c r="AB47" s="94">
        <v>475700</v>
      </c>
      <c r="AC47" s="10">
        <v>39.72</v>
      </c>
      <c r="AD47" s="2">
        <f t="shared" si="0"/>
        <v>1.2999999999999972</v>
      </c>
      <c r="AE47" s="137">
        <f t="shared" si="1"/>
        <v>-1.7074981440237558E-2</v>
      </c>
    </row>
    <row r="48" spans="1:31" x14ac:dyDescent="0.25">
      <c r="A48" s="378"/>
      <c r="B48" s="378"/>
      <c r="C48" s="378"/>
      <c r="D48" s="378"/>
      <c r="E48" s="379"/>
      <c r="F48" s="378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5"/>
        <v>46.777499999999996</v>
      </c>
      <c r="Q48" s="2"/>
      <c r="T48" s="92" t="s">
        <v>103</v>
      </c>
      <c r="U48" s="432">
        <v>1.8201099999999999</v>
      </c>
      <c r="W48" s="132">
        <v>42731</v>
      </c>
      <c r="X48" s="10">
        <v>40.799999999999997</v>
      </c>
      <c r="Y48" s="10">
        <v>41.15</v>
      </c>
      <c r="Z48" s="10">
        <v>40.479999999999997</v>
      </c>
      <c r="AA48" s="10">
        <v>40.65</v>
      </c>
      <c r="AB48" s="94">
        <v>439600</v>
      </c>
      <c r="AC48" s="10">
        <v>40.409999999999997</v>
      </c>
      <c r="AD48" s="2">
        <f t="shared" si="0"/>
        <v>0.67000000000000171</v>
      </c>
      <c r="AE48" s="137">
        <f t="shared" si="1"/>
        <v>0</v>
      </c>
    </row>
    <row r="49" spans="15:31" x14ac:dyDescent="0.25">
      <c r="O49" s="82">
        <v>1.04</v>
      </c>
      <c r="P49" s="82">
        <f t="shared" si="5"/>
        <v>46.332000000000001</v>
      </c>
      <c r="Q49" s="2"/>
      <c r="T49" s="92" t="s">
        <v>122</v>
      </c>
      <c r="U49" s="432" t="s">
        <v>419</v>
      </c>
      <c r="W49" s="132">
        <v>42727</v>
      </c>
      <c r="X49" s="10">
        <v>40.6</v>
      </c>
      <c r="Y49" s="10">
        <v>40.799999999999997</v>
      </c>
      <c r="Z49" s="10">
        <v>40.35</v>
      </c>
      <c r="AA49" s="10">
        <v>40.65</v>
      </c>
      <c r="AB49" s="94">
        <v>244700</v>
      </c>
      <c r="AC49" s="10">
        <v>40.409999999999997</v>
      </c>
      <c r="AD49" s="2">
        <f t="shared" si="0"/>
        <v>0.44999999999999574</v>
      </c>
      <c r="AE49" s="137">
        <f t="shared" si="1"/>
        <v>2.4807740014882729E-3</v>
      </c>
    </row>
    <row r="50" spans="15:31" x14ac:dyDescent="0.25">
      <c r="O50" s="82">
        <v>1.03</v>
      </c>
      <c r="P50" s="82">
        <f t="shared" si="5"/>
        <v>45.886499999999998</v>
      </c>
      <c r="Q50" s="2"/>
      <c r="T50" s="92"/>
      <c r="U50" s="432"/>
      <c r="W50" s="132">
        <v>42726</v>
      </c>
      <c r="X50" s="10">
        <v>40.65</v>
      </c>
      <c r="Y50" s="10">
        <v>40.700000000000003</v>
      </c>
      <c r="Z50" s="10">
        <v>40.299999999999997</v>
      </c>
      <c r="AA50" s="10">
        <v>40.549999999999997</v>
      </c>
      <c r="AB50" s="94">
        <v>476800</v>
      </c>
      <c r="AC50" s="10">
        <v>40.31</v>
      </c>
      <c r="AD50" s="2">
        <f t="shared" si="0"/>
        <v>0.40000000000000568</v>
      </c>
      <c r="AE50" s="137">
        <f t="shared" si="1"/>
        <v>-4.9370525796098574E-3</v>
      </c>
    </row>
    <row r="51" spans="15:31" x14ac:dyDescent="0.25">
      <c r="O51" s="82">
        <v>1.02</v>
      </c>
      <c r="P51" s="82">
        <f t="shared" si="5"/>
        <v>45.440999999999995</v>
      </c>
      <c r="Q51" s="2"/>
      <c r="T51" s="92" t="s">
        <v>105</v>
      </c>
      <c r="U51" s="432" t="s">
        <v>734</v>
      </c>
      <c r="W51" s="132">
        <v>42725</v>
      </c>
      <c r="X51" s="10">
        <v>41</v>
      </c>
      <c r="Y51" s="10">
        <v>41.15</v>
      </c>
      <c r="Z51" s="10">
        <v>40.450000000000003</v>
      </c>
      <c r="AA51" s="10">
        <v>40.75</v>
      </c>
      <c r="AB51" s="94">
        <v>1286400</v>
      </c>
      <c r="AC51" s="10">
        <v>40.51</v>
      </c>
      <c r="AD51" s="2">
        <f t="shared" si="0"/>
        <v>0.69999999999999574</v>
      </c>
      <c r="AE51" s="137">
        <f t="shared" si="1"/>
        <v>-4.9127978383690651E-3</v>
      </c>
    </row>
    <row r="52" spans="15:31" x14ac:dyDescent="0.25">
      <c r="O52" s="82">
        <v>1.01</v>
      </c>
      <c r="P52" s="82">
        <f t="shared" si="5"/>
        <v>44.9955</v>
      </c>
      <c r="Q52" s="2"/>
      <c r="T52" s="92" t="s">
        <v>106</v>
      </c>
      <c r="U52" s="432" t="s">
        <v>516</v>
      </c>
      <c r="W52" s="132">
        <v>42724</v>
      </c>
      <c r="X52" s="10">
        <v>40.5</v>
      </c>
      <c r="Y52" s="10">
        <v>41.05</v>
      </c>
      <c r="Z52" s="10">
        <v>40.4</v>
      </c>
      <c r="AA52" s="10">
        <v>40.950000000000003</v>
      </c>
      <c r="AB52" s="94">
        <v>634400</v>
      </c>
      <c r="AC52" s="10">
        <v>40.71</v>
      </c>
      <c r="AD52" s="2">
        <f t="shared" si="0"/>
        <v>0.64999999999999858</v>
      </c>
      <c r="AE52" s="137">
        <f t="shared" si="1"/>
        <v>2.1068472535741289E-2</v>
      </c>
    </row>
    <row r="53" spans="15:31" x14ac:dyDescent="0.25">
      <c r="O53" s="82">
        <v>1</v>
      </c>
      <c r="P53" s="82">
        <f t="shared" si="5"/>
        <v>44.55</v>
      </c>
      <c r="Q53" s="2"/>
      <c r="T53" s="92" t="s">
        <v>107</v>
      </c>
      <c r="U53" s="433">
        <v>940560</v>
      </c>
      <c r="W53" s="132">
        <v>42723</v>
      </c>
      <c r="X53" s="10">
        <v>39.6</v>
      </c>
      <c r="Y53" s="10">
        <v>40.200000000000003</v>
      </c>
      <c r="Z53" s="10">
        <v>39.6</v>
      </c>
      <c r="AA53" s="10">
        <v>40.1</v>
      </c>
      <c r="AB53" s="94">
        <v>443300</v>
      </c>
      <c r="AC53" s="10">
        <v>39.869999999999997</v>
      </c>
      <c r="AD53" s="2">
        <f t="shared" si="0"/>
        <v>0.60000000000000142</v>
      </c>
      <c r="AE53" s="137">
        <f t="shared" si="1"/>
        <v>1.1415525114155223E-2</v>
      </c>
    </row>
    <row r="54" spans="15:31" x14ac:dyDescent="0.25">
      <c r="O54" s="82">
        <v>0.99</v>
      </c>
      <c r="P54" s="82">
        <f t="shared" si="5"/>
        <v>44.104499999999994</v>
      </c>
      <c r="Q54" s="2"/>
      <c r="T54" s="92" t="s">
        <v>110</v>
      </c>
      <c r="U54" s="433">
        <v>856030</v>
      </c>
      <c r="W54" s="132">
        <v>42720</v>
      </c>
      <c r="X54" s="10">
        <v>39.4</v>
      </c>
      <c r="Y54" s="10">
        <v>39.799999999999997</v>
      </c>
      <c r="Z54" s="10">
        <v>39.25</v>
      </c>
      <c r="AA54" s="10">
        <v>39.65</v>
      </c>
      <c r="AB54" s="94">
        <v>923600</v>
      </c>
      <c r="AC54" s="10">
        <v>39.42</v>
      </c>
      <c r="AD54" s="2">
        <f t="shared" si="0"/>
        <v>0.54999999999999716</v>
      </c>
      <c r="AE54" s="137">
        <f t="shared" si="1"/>
        <v>3.8197097020626902E-3</v>
      </c>
    </row>
    <row r="55" spans="15:31" x14ac:dyDescent="0.25">
      <c r="O55" s="82">
        <v>0.98</v>
      </c>
      <c r="P55" s="82">
        <f t="shared" si="5"/>
        <v>43.658999999999999</v>
      </c>
      <c r="Q55" s="2"/>
      <c r="T55" s="92" t="s">
        <v>108</v>
      </c>
      <c r="U55" s="432" t="s">
        <v>735</v>
      </c>
      <c r="W55" s="132">
        <v>42719</v>
      </c>
      <c r="X55" s="10">
        <v>39.299999999999997</v>
      </c>
      <c r="Y55" s="10">
        <v>40.08</v>
      </c>
      <c r="Z55" s="10">
        <v>39.200000000000003</v>
      </c>
      <c r="AA55" s="10">
        <v>39.5</v>
      </c>
      <c r="AB55" s="94">
        <v>285500</v>
      </c>
      <c r="AC55" s="10">
        <v>39.270000000000003</v>
      </c>
      <c r="AD55" s="2">
        <f t="shared" si="0"/>
        <v>0.87999999999999545</v>
      </c>
      <c r="AE55" s="137">
        <f t="shared" si="1"/>
        <v>2.5529742149603685E-3</v>
      </c>
    </row>
    <row r="56" spans="15:31" x14ac:dyDescent="0.25">
      <c r="O56" s="82">
        <v>0.97</v>
      </c>
      <c r="P56" s="82">
        <f t="shared" si="5"/>
        <v>43.213499999999996</v>
      </c>
      <c r="Q56" s="2"/>
      <c r="T56" s="92" t="s">
        <v>111</v>
      </c>
      <c r="U56" s="432">
        <v>23.44</v>
      </c>
      <c r="W56" s="132">
        <v>42718</v>
      </c>
      <c r="X56" s="10">
        <v>40.049999999999997</v>
      </c>
      <c r="Y56" s="10">
        <v>40.549999999999997</v>
      </c>
      <c r="Z56" s="10">
        <v>39.35</v>
      </c>
      <c r="AA56" s="10">
        <v>39.4</v>
      </c>
      <c r="AB56" s="94">
        <v>548800</v>
      </c>
      <c r="AC56" s="10">
        <v>39.17</v>
      </c>
      <c r="AD56" s="2">
        <f t="shared" si="0"/>
        <v>1.1999999999999957</v>
      </c>
      <c r="AE56" s="137">
        <f t="shared" si="1"/>
        <v>-1.8787575150300606E-2</v>
      </c>
    </row>
    <row r="57" spans="15:31" x14ac:dyDescent="0.25">
      <c r="O57" s="82">
        <v>0.96</v>
      </c>
      <c r="P57" s="82">
        <f t="shared" si="5"/>
        <v>42.767999999999994</v>
      </c>
      <c r="Q57" s="2"/>
      <c r="T57" s="92" t="s">
        <v>112</v>
      </c>
      <c r="U57" s="432">
        <v>1.92</v>
      </c>
      <c r="W57" s="132">
        <v>42717</v>
      </c>
      <c r="X57" s="10">
        <v>40.049999999999997</v>
      </c>
      <c r="Y57" s="10">
        <v>40.5</v>
      </c>
      <c r="Z57" s="10">
        <v>39.5</v>
      </c>
      <c r="AA57" s="10">
        <v>40.15</v>
      </c>
      <c r="AB57" s="94">
        <v>830300</v>
      </c>
      <c r="AC57" s="10">
        <v>39.92</v>
      </c>
      <c r="AD57" s="2">
        <f t="shared" si="0"/>
        <v>1</v>
      </c>
      <c r="AE57" s="137">
        <f t="shared" si="1"/>
        <v>7.5719333669865829E-3</v>
      </c>
    </row>
    <row r="58" spans="15:31" x14ac:dyDescent="0.25">
      <c r="O58" s="82">
        <v>0.95</v>
      </c>
      <c r="P58" s="82">
        <f t="shared" si="5"/>
        <v>42.322499999999998</v>
      </c>
      <c r="Q58" s="2"/>
      <c r="T58" s="92" t="s">
        <v>109</v>
      </c>
      <c r="U58" s="432" t="s">
        <v>736</v>
      </c>
      <c r="W58" s="132">
        <v>42716</v>
      </c>
      <c r="X58" s="10">
        <v>39.25</v>
      </c>
      <c r="Y58" s="10">
        <v>39.9</v>
      </c>
      <c r="Z58" s="10">
        <v>38.9</v>
      </c>
      <c r="AA58" s="10">
        <v>39.85</v>
      </c>
      <c r="AB58" s="94">
        <v>706200</v>
      </c>
      <c r="AC58" s="10">
        <v>39.619999999999997</v>
      </c>
      <c r="AD58" s="2">
        <f t="shared" si="0"/>
        <v>1</v>
      </c>
      <c r="AE58" s="137">
        <f t="shared" si="1"/>
        <v>1.4077297158945346E-2</v>
      </c>
    </row>
    <row r="59" spans="15:31" x14ac:dyDescent="0.25">
      <c r="O59" s="82">
        <v>0.94</v>
      </c>
      <c r="P59" s="82">
        <f t="shared" si="5"/>
        <v>41.876999999999995</v>
      </c>
      <c r="W59" s="132">
        <v>42713</v>
      </c>
      <c r="X59" s="10">
        <v>40.049999999999997</v>
      </c>
      <c r="Y59" s="10">
        <v>40.299999999999997</v>
      </c>
      <c r="Z59" s="10">
        <v>39.1</v>
      </c>
      <c r="AA59" s="10">
        <v>39.299999999999997</v>
      </c>
      <c r="AB59" s="94">
        <v>685500</v>
      </c>
      <c r="AC59" s="10">
        <v>39.07</v>
      </c>
      <c r="AD59" s="2">
        <f t="shared" si="0"/>
        <v>1.1999999999999957</v>
      </c>
      <c r="AE59" s="137">
        <f t="shared" si="1"/>
        <v>-2.251688766574933E-2</v>
      </c>
    </row>
    <row r="60" spans="15:31" x14ac:dyDescent="0.25">
      <c r="O60" s="82">
        <v>0.93</v>
      </c>
      <c r="P60" s="82">
        <f t="shared" si="5"/>
        <v>41.4315</v>
      </c>
      <c r="W60" s="132">
        <v>42712</v>
      </c>
      <c r="X60" s="10">
        <v>39.6</v>
      </c>
      <c r="Y60" s="10">
        <v>40.35</v>
      </c>
      <c r="Z60" s="10">
        <v>39.1</v>
      </c>
      <c r="AA60" s="10">
        <v>40.200000000000003</v>
      </c>
      <c r="AB60" s="94">
        <v>631700</v>
      </c>
      <c r="AC60" s="10">
        <v>39.97</v>
      </c>
      <c r="AD60" s="2">
        <f t="shared" si="0"/>
        <v>1.25</v>
      </c>
      <c r="AE60" s="137">
        <f t="shared" si="1"/>
        <v>6.2940584088619911E-3</v>
      </c>
    </row>
    <row r="61" spans="15:31" x14ac:dyDescent="0.25">
      <c r="O61" s="82">
        <v>0.92</v>
      </c>
      <c r="P61" s="82">
        <f t="shared" si="5"/>
        <v>40.985999999999997</v>
      </c>
      <c r="W61" s="132">
        <v>42711</v>
      </c>
      <c r="X61" s="10">
        <v>39.200000000000003</v>
      </c>
      <c r="Y61" s="10">
        <v>40.1</v>
      </c>
      <c r="Z61" s="10">
        <v>39</v>
      </c>
      <c r="AA61" s="10">
        <v>39.950000000000003</v>
      </c>
      <c r="AB61" s="94">
        <v>561000</v>
      </c>
      <c r="AC61" s="10">
        <v>39.72</v>
      </c>
      <c r="AD61" s="2">
        <f t="shared" si="0"/>
        <v>1.1000000000000014</v>
      </c>
      <c r="AE61" s="137">
        <f t="shared" si="1"/>
        <v>2.1867764342680784E-2</v>
      </c>
    </row>
    <row r="62" spans="15:31" x14ac:dyDescent="0.25">
      <c r="O62" s="82">
        <v>0.91</v>
      </c>
      <c r="P62" s="82">
        <f t="shared" si="5"/>
        <v>40.540500000000002</v>
      </c>
      <c r="W62" s="132">
        <v>42710</v>
      </c>
      <c r="X62" s="10">
        <v>39</v>
      </c>
      <c r="Y62" s="10">
        <v>39.35</v>
      </c>
      <c r="Z62" s="10">
        <v>38.75</v>
      </c>
      <c r="AA62" s="10">
        <v>39.1</v>
      </c>
      <c r="AB62" s="94">
        <v>1335700</v>
      </c>
      <c r="AC62" s="10">
        <v>38.869999999999997</v>
      </c>
      <c r="AD62" s="2">
        <f t="shared" si="0"/>
        <v>0.60000000000000142</v>
      </c>
      <c r="AE62" s="137">
        <f t="shared" si="1"/>
        <v>-1.284686536485169E-3</v>
      </c>
    </row>
    <row r="63" spans="15:31" x14ac:dyDescent="0.25">
      <c r="O63" s="82">
        <v>0.9</v>
      </c>
      <c r="P63" s="82">
        <f t="shared" si="5"/>
        <v>40.094999999999999</v>
      </c>
      <c r="W63" s="132">
        <v>42709</v>
      </c>
      <c r="X63" s="10">
        <v>39.75</v>
      </c>
      <c r="Y63" s="10">
        <v>40.15</v>
      </c>
      <c r="Z63" s="10">
        <v>39.049999999999997</v>
      </c>
      <c r="AA63" s="10">
        <v>39.15</v>
      </c>
      <c r="AB63" s="94">
        <v>605000</v>
      </c>
      <c r="AC63" s="10">
        <v>38.92</v>
      </c>
      <c r="AD63" s="2">
        <f t="shared" si="0"/>
        <v>1.1000000000000014</v>
      </c>
      <c r="AE63" s="137">
        <f t="shared" si="1"/>
        <v>-7.6491585925547723E-3</v>
      </c>
    </row>
    <row r="64" spans="15:31" x14ac:dyDescent="0.25">
      <c r="W64" s="132">
        <v>42706</v>
      </c>
      <c r="X64" s="10">
        <v>39.1</v>
      </c>
      <c r="Y64" s="10">
        <v>39.58</v>
      </c>
      <c r="Z64" s="10">
        <v>38.85</v>
      </c>
      <c r="AA64" s="10">
        <v>39.450000000000003</v>
      </c>
      <c r="AB64" s="94">
        <v>638200</v>
      </c>
      <c r="AC64" s="10">
        <v>39.22</v>
      </c>
      <c r="AD64" s="2">
        <f t="shared" si="0"/>
        <v>0.72999999999999687</v>
      </c>
      <c r="AE64" s="137">
        <f t="shared" si="1"/>
        <v>9.0043735528686497E-3</v>
      </c>
    </row>
    <row r="65" spans="23:31" x14ac:dyDescent="0.25">
      <c r="W65" s="132">
        <v>42705</v>
      </c>
      <c r="X65" s="10">
        <v>39.4</v>
      </c>
      <c r="Y65" s="10">
        <v>40</v>
      </c>
      <c r="Z65" s="10">
        <v>39.03</v>
      </c>
      <c r="AA65" s="10">
        <v>39.1</v>
      </c>
      <c r="AB65" s="94">
        <v>1240200</v>
      </c>
      <c r="AC65" s="10">
        <v>38.869999999999997</v>
      </c>
      <c r="AD65" s="2">
        <f t="shared" si="0"/>
        <v>0.96999999999999886</v>
      </c>
      <c r="AE65" s="137">
        <f t="shared" si="1"/>
        <v>1.2879958784131063E-3</v>
      </c>
    </row>
    <row r="66" spans="23:31" x14ac:dyDescent="0.25">
      <c r="W66" s="132">
        <v>42704</v>
      </c>
      <c r="X66" s="10">
        <v>39.35</v>
      </c>
      <c r="Y66" s="10">
        <v>39.450000000000003</v>
      </c>
      <c r="Z66" s="10">
        <v>38.700000000000003</v>
      </c>
      <c r="AA66" s="10">
        <v>39.049999999999997</v>
      </c>
      <c r="AB66" s="94">
        <v>845100</v>
      </c>
      <c r="AC66" s="10">
        <v>38.82</v>
      </c>
      <c r="AD66" s="2">
        <f t="shared" si="0"/>
        <v>0.75</v>
      </c>
      <c r="AE66" s="137">
        <f t="shared" si="1"/>
        <v>1.0411244143675225E-2</v>
      </c>
    </row>
    <row r="67" spans="23:31" x14ac:dyDescent="0.25">
      <c r="W67" s="132">
        <v>42703</v>
      </c>
      <c r="X67" s="10">
        <v>39</v>
      </c>
      <c r="Y67" s="10">
        <v>39.25</v>
      </c>
      <c r="Z67" s="10">
        <v>38.6</v>
      </c>
      <c r="AA67" s="10">
        <v>38.65</v>
      </c>
      <c r="AB67" s="94">
        <v>209800</v>
      </c>
      <c r="AC67" s="10">
        <v>38.42</v>
      </c>
      <c r="AD67" s="2">
        <f>Y67-Z67</f>
        <v>0.64999999999999858</v>
      </c>
      <c r="AE67" s="137">
        <f>AC67/AC68-1</f>
        <v>-1.4113420579933256E-2</v>
      </c>
    </row>
    <row r="68" spans="23:31" x14ac:dyDescent="0.25">
      <c r="W68" s="132">
        <v>42702</v>
      </c>
      <c r="X68" s="10">
        <v>39.549999999999997</v>
      </c>
      <c r="Y68" s="10">
        <v>39.700000000000003</v>
      </c>
      <c r="Z68" s="10">
        <v>39.049999999999997</v>
      </c>
      <c r="AA68" s="10">
        <v>39.200000000000003</v>
      </c>
      <c r="AB68" s="94">
        <v>399700</v>
      </c>
      <c r="AC68" s="10">
        <v>38.97</v>
      </c>
      <c r="AD68" s="2">
        <f>Y68-Z68</f>
        <v>0.65000000000000568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42797</v>
      </c>
      <c r="X2" s="10">
        <v>112.69</v>
      </c>
      <c r="Y2" s="10">
        <v>113.43</v>
      </c>
      <c r="Z2" s="10">
        <v>112.17</v>
      </c>
      <c r="AA2" s="10">
        <v>112.34</v>
      </c>
      <c r="AB2" s="94">
        <v>3108300</v>
      </c>
      <c r="AC2" s="10">
        <v>112.34</v>
      </c>
      <c r="AD2" s="2">
        <f>Y2-Z2</f>
        <v>1.2600000000000051</v>
      </c>
      <c r="AE2" s="137">
        <f>AC2/AC3-1</f>
        <v>-3.1058656491258496E-3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4"/>
      <c r="O3" s="11" t="s">
        <v>58</v>
      </c>
      <c r="Q3" s="2">
        <f>IF(Q2=0, Q4, (F18-K18-M18)/Q2)</f>
        <v>112.14</v>
      </c>
      <c r="W3" s="132">
        <v>42796</v>
      </c>
      <c r="X3" s="10">
        <v>113.83</v>
      </c>
      <c r="Y3" s="10">
        <v>114.04</v>
      </c>
      <c r="Z3" s="10">
        <v>112.63</v>
      </c>
      <c r="AA3" s="10">
        <v>112.69</v>
      </c>
      <c r="AB3" s="94">
        <v>2869600</v>
      </c>
      <c r="AC3" s="10">
        <v>112.69</v>
      </c>
      <c r="AD3" s="2">
        <f t="shared" ref="AD3:AD66" si="0">Y3-Z3</f>
        <v>1.4100000000000108</v>
      </c>
      <c r="AE3" s="137">
        <f t="shared" ref="AE3:AE66" si="1">AC3/AC4-1</f>
        <v>-8.7086558761436672E-3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112.14</v>
      </c>
      <c r="R4" s="499">
        <v>1.9E-3</v>
      </c>
      <c r="W4" s="132">
        <v>42795</v>
      </c>
      <c r="X4" s="10">
        <v>113.64</v>
      </c>
      <c r="Y4" s="10">
        <v>114.44</v>
      </c>
      <c r="Z4" s="10">
        <v>113.46</v>
      </c>
      <c r="AA4" s="10">
        <v>113.68</v>
      </c>
      <c r="AB4" s="94">
        <v>5046700</v>
      </c>
      <c r="AC4" s="10">
        <v>113.68</v>
      </c>
      <c r="AD4" s="2">
        <f t="shared" si="0"/>
        <v>0.98000000000000398</v>
      </c>
      <c r="AE4" s="137">
        <f t="shared" si="1"/>
        <v>1.0039982230120037E-2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42794</v>
      </c>
      <c r="X5" s="10">
        <v>112.97</v>
      </c>
      <c r="Y5" s="10">
        <v>113.19</v>
      </c>
      <c r="Z5" s="10">
        <v>112.34</v>
      </c>
      <c r="AA5" s="10">
        <v>112.55</v>
      </c>
      <c r="AB5" s="94">
        <v>2929600</v>
      </c>
      <c r="AC5" s="10">
        <v>112.55</v>
      </c>
      <c r="AD5" s="2">
        <f t="shared" si="0"/>
        <v>0.84999999999999432</v>
      </c>
      <c r="AE5" s="137">
        <f t="shared" si="1"/>
        <v>-2.3047602162928893E-3</v>
      </c>
    </row>
    <row r="6" spans="1:31" x14ac:dyDescent="0.25">
      <c r="O6" s="11" t="s">
        <v>64</v>
      </c>
      <c r="Q6" s="2">
        <f>Q3*Q2</f>
        <v>0</v>
      </c>
      <c r="W6" s="132">
        <v>42793</v>
      </c>
      <c r="X6" s="10">
        <v>112.59</v>
      </c>
      <c r="Y6" s="10">
        <v>112.97</v>
      </c>
      <c r="Z6" s="10">
        <v>112.03</v>
      </c>
      <c r="AA6" s="10">
        <v>112.81</v>
      </c>
      <c r="AB6" s="94">
        <v>2718900</v>
      </c>
      <c r="AC6" s="10">
        <v>112.81</v>
      </c>
      <c r="AD6" s="2">
        <f t="shared" si="0"/>
        <v>0.93999999999999773</v>
      </c>
      <c r="AE6" s="137">
        <f t="shared" si="1"/>
        <v>3.112217677396556E-3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42790</v>
      </c>
      <c r="X7" s="10">
        <v>111.82</v>
      </c>
      <c r="Y7" s="10">
        <v>112.69</v>
      </c>
      <c r="Z7" s="10">
        <v>111.75</v>
      </c>
      <c r="AA7" s="10">
        <v>112.46</v>
      </c>
      <c r="AB7" s="94">
        <v>2639300</v>
      </c>
      <c r="AC7" s="10">
        <v>112.46</v>
      </c>
      <c r="AD7" s="2">
        <f t="shared" si="0"/>
        <v>0.93999999999999773</v>
      </c>
      <c r="AE7" s="137">
        <f t="shared" si="1"/>
        <v>3.3009189044517218E-3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42789</v>
      </c>
      <c r="X8" s="10">
        <v>112.7</v>
      </c>
      <c r="Y8" s="10">
        <v>112.88</v>
      </c>
      <c r="Z8" s="10">
        <v>111.97</v>
      </c>
      <c r="AA8" s="10">
        <v>112.09</v>
      </c>
      <c r="AB8" s="94">
        <v>3463400</v>
      </c>
      <c r="AC8" s="10">
        <v>112.09</v>
      </c>
      <c r="AD8" s="2">
        <f t="shared" si="0"/>
        <v>0.90999999999999659</v>
      </c>
      <c r="AE8" s="137">
        <f t="shared" si="1"/>
        <v>-5.0594709746137889E-3</v>
      </c>
    </row>
    <row r="9" spans="1:31" x14ac:dyDescent="0.25">
      <c r="O9" s="11" t="s">
        <v>213</v>
      </c>
      <c r="Q9" s="137">
        <f>IF(Q2=0, 0, Q8/Q6)</f>
        <v>0</v>
      </c>
      <c r="W9" s="132">
        <v>42788</v>
      </c>
      <c r="X9" s="10">
        <v>112.35</v>
      </c>
      <c r="Y9" s="10">
        <v>112.71</v>
      </c>
      <c r="Z9" s="10">
        <v>111.72</v>
      </c>
      <c r="AA9" s="10">
        <v>112.66</v>
      </c>
      <c r="AB9" s="94">
        <v>2203600</v>
      </c>
      <c r="AC9" s="10">
        <v>112.66</v>
      </c>
      <c r="AD9" s="2">
        <f t="shared" si="0"/>
        <v>0.98999999999999488</v>
      </c>
      <c r="AE9" s="137">
        <f t="shared" si="1"/>
        <v>1.4222222222222136E-3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42787</v>
      </c>
      <c r="X10" s="10">
        <v>112.19</v>
      </c>
      <c r="Y10" s="10">
        <v>112.8</v>
      </c>
      <c r="Z10" s="10">
        <v>112.04</v>
      </c>
      <c r="AA10" s="10">
        <v>112.5</v>
      </c>
      <c r="AB10" s="94">
        <v>1912800</v>
      </c>
      <c r="AC10" s="10">
        <v>112.5</v>
      </c>
      <c r="AD10" s="2">
        <f t="shared" si="0"/>
        <v>0.75999999999999091</v>
      </c>
      <c r="AE10" s="137">
        <f t="shared" si="1"/>
        <v>3.1208203299153414E-3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2.3400000000000001E-2</v>
      </c>
      <c r="W11" s="132">
        <v>42783</v>
      </c>
      <c r="X11" s="10">
        <v>111.93</v>
      </c>
      <c r="Y11" s="10">
        <v>112.33</v>
      </c>
      <c r="Z11" s="10">
        <v>111.61</v>
      </c>
      <c r="AA11" s="10">
        <v>112.15</v>
      </c>
      <c r="AB11" s="94">
        <v>2492400</v>
      </c>
      <c r="AC11" s="10">
        <v>112.15</v>
      </c>
      <c r="AD11" s="2">
        <f t="shared" si="0"/>
        <v>0.71999999999999886</v>
      </c>
      <c r="AE11" s="137">
        <f t="shared" si="1"/>
        <v>7.1383956455806086E-4</v>
      </c>
    </row>
    <row r="12" spans="1:31" x14ac:dyDescent="0.25">
      <c r="W12" s="132">
        <v>42782</v>
      </c>
      <c r="X12" s="10">
        <v>112.14</v>
      </c>
      <c r="Y12" s="10">
        <v>112.33</v>
      </c>
      <c r="Z12" s="10">
        <v>111.81</v>
      </c>
      <c r="AA12" s="10">
        <v>112.07</v>
      </c>
      <c r="AB12" s="94">
        <v>2789700</v>
      </c>
      <c r="AC12" s="10">
        <v>112.07</v>
      </c>
      <c r="AD12" s="2">
        <f t="shared" si="0"/>
        <v>0.51999999999999602</v>
      </c>
      <c r="AE12" s="137">
        <f t="shared" si="1"/>
        <v>1.429720310964111E-3</v>
      </c>
    </row>
    <row r="13" spans="1:31" x14ac:dyDescent="0.25">
      <c r="W13" s="132">
        <v>42781</v>
      </c>
      <c r="X13" s="10">
        <v>111.13</v>
      </c>
      <c r="Y13" s="10">
        <v>112.08</v>
      </c>
      <c r="Z13" s="10">
        <v>111.06</v>
      </c>
      <c r="AA13" s="10">
        <v>111.91</v>
      </c>
      <c r="AB13" s="94">
        <v>2600600</v>
      </c>
      <c r="AC13" s="10">
        <v>111.91</v>
      </c>
      <c r="AD13" s="2">
        <f t="shared" si="0"/>
        <v>1.019999999999996</v>
      </c>
      <c r="AE13" s="137" t="e">
        <f t="shared" si="1"/>
        <v>#DIV/0!</v>
      </c>
    </row>
    <row r="14" spans="1:31" x14ac:dyDescent="0.25">
      <c r="W14" s="132">
        <v>42781</v>
      </c>
      <c r="X14" s="10" t="s">
        <v>216</v>
      </c>
      <c r="Y14" s="10"/>
      <c r="Z14" s="10"/>
      <c r="AA14" s="10"/>
      <c r="AB14" s="94"/>
      <c r="AC14" s="10"/>
      <c r="AD14" s="2">
        <f t="shared" si="0"/>
        <v>0</v>
      </c>
      <c r="AE14" s="137">
        <f t="shared" si="1"/>
        <v>-1</v>
      </c>
    </row>
    <row r="15" spans="1:31" x14ac:dyDescent="0.25">
      <c r="W15" s="132">
        <v>42780</v>
      </c>
      <c r="X15" s="10">
        <v>111.99</v>
      </c>
      <c r="Y15" s="10">
        <v>112.32</v>
      </c>
      <c r="Z15" s="10">
        <v>111.45</v>
      </c>
      <c r="AA15" s="10">
        <v>111.57</v>
      </c>
      <c r="AB15" s="94">
        <v>2771900</v>
      </c>
      <c r="AC15" s="10">
        <v>110.91</v>
      </c>
      <c r="AD15" s="2">
        <f t="shared" si="0"/>
        <v>0.86999999999999034</v>
      </c>
      <c r="AE15" s="137">
        <f t="shared" si="1"/>
        <v>-4.0409482758620996E-3</v>
      </c>
    </row>
    <row r="16" spans="1:31" x14ac:dyDescent="0.25">
      <c r="W16" s="132">
        <v>42779</v>
      </c>
      <c r="X16" s="10">
        <v>111.61</v>
      </c>
      <c r="Y16" s="10">
        <v>112.1</v>
      </c>
      <c r="Z16" s="10">
        <v>111.42</v>
      </c>
      <c r="AA16" s="10">
        <v>112.02</v>
      </c>
      <c r="AB16" s="94">
        <v>2830800</v>
      </c>
      <c r="AC16" s="10">
        <v>111.36</v>
      </c>
      <c r="AD16" s="2">
        <f t="shared" si="0"/>
        <v>0.67999999999999261</v>
      </c>
      <c r="AE16" s="137">
        <f t="shared" si="1"/>
        <v>8.7870278104900112E-3</v>
      </c>
    </row>
    <row r="17" spans="1:31" x14ac:dyDescent="0.25">
      <c r="W17" s="132">
        <v>42776</v>
      </c>
      <c r="X17" s="10">
        <v>110.25</v>
      </c>
      <c r="Y17" s="10">
        <v>111.26</v>
      </c>
      <c r="Z17" s="10">
        <v>110.08</v>
      </c>
      <c r="AA17" s="10">
        <v>111.05</v>
      </c>
      <c r="AB17" s="94">
        <v>2679200</v>
      </c>
      <c r="AC17" s="10">
        <v>110.39</v>
      </c>
      <c r="AD17" s="2">
        <f t="shared" si="0"/>
        <v>1.1800000000000068</v>
      </c>
      <c r="AE17" s="137">
        <f t="shared" si="1"/>
        <v>8.6805555555555802E-3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42775</v>
      </c>
      <c r="X18" s="10">
        <v>110.4</v>
      </c>
      <c r="Y18" s="10">
        <v>110.72</v>
      </c>
      <c r="Z18" s="10">
        <v>110</v>
      </c>
      <c r="AA18" s="10">
        <v>110.09</v>
      </c>
      <c r="AB18" s="94">
        <v>2654000</v>
      </c>
      <c r="AC18" s="10">
        <v>109.44</v>
      </c>
      <c r="AD18" s="2">
        <f t="shared" si="0"/>
        <v>0.71999999999999886</v>
      </c>
      <c r="AE18" s="137">
        <f t="shared" si="1"/>
        <v>-2.8246013667425629E-3</v>
      </c>
    </row>
    <row r="19" spans="1:31" x14ac:dyDescent="0.25">
      <c r="W19" s="132">
        <v>42774</v>
      </c>
      <c r="X19" s="10">
        <v>111.09</v>
      </c>
      <c r="Y19" s="10">
        <v>111.09</v>
      </c>
      <c r="Z19" s="10">
        <v>110.35</v>
      </c>
      <c r="AA19" s="10">
        <v>110.4</v>
      </c>
      <c r="AB19" s="94">
        <v>2072300</v>
      </c>
      <c r="AC19" s="10">
        <v>109.75</v>
      </c>
      <c r="AD19" s="2">
        <f t="shared" si="0"/>
        <v>0.74000000000000909</v>
      </c>
      <c r="AE19" s="137">
        <f t="shared" si="1"/>
        <v>-7.5956234740934825E-3</v>
      </c>
    </row>
    <row r="20" spans="1:31" x14ac:dyDescent="0.25">
      <c r="W20" s="132">
        <v>42773</v>
      </c>
      <c r="X20" s="10">
        <v>111.38</v>
      </c>
      <c r="Y20" s="10">
        <v>111.73</v>
      </c>
      <c r="Z20" s="10">
        <v>110.97</v>
      </c>
      <c r="AA20" s="10">
        <v>111.25</v>
      </c>
      <c r="AB20" s="94">
        <v>2774400</v>
      </c>
      <c r="AC20" s="10">
        <v>110.59</v>
      </c>
      <c r="AD20" s="2">
        <f t="shared" si="0"/>
        <v>0.76000000000000512</v>
      </c>
      <c r="AE20" s="137">
        <f t="shared" si="1"/>
        <v>5.0895210397163826E-3</v>
      </c>
    </row>
    <row r="21" spans="1:31" x14ac:dyDescent="0.25">
      <c r="W21" s="132">
        <v>42772</v>
      </c>
      <c r="X21" s="10">
        <v>109.81</v>
      </c>
      <c r="Y21" s="10">
        <v>111.25</v>
      </c>
      <c r="Z21" s="10">
        <v>109.68</v>
      </c>
      <c r="AA21" s="10">
        <v>110.68</v>
      </c>
      <c r="AB21" s="94">
        <v>4229600</v>
      </c>
      <c r="AC21" s="10">
        <v>110.03</v>
      </c>
      <c r="AD21" s="2">
        <f t="shared" si="0"/>
        <v>1.5699999999999932</v>
      </c>
      <c r="AE21" s="137">
        <f t="shared" si="1"/>
        <v>9.449541284403784E-3</v>
      </c>
    </row>
    <row r="22" spans="1:31" x14ac:dyDescent="0.25">
      <c r="W22" s="132">
        <v>42769</v>
      </c>
      <c r="X22" s="10">
        <v>108.53</v>
      </c>
      <c r="Y22" s="10">
        <v>109.78</v>
      </c>
      <c r="Z22" s="10">
        <v>108.5</v>
      </c>
      <c r="AA22" s="10">
        <v>109.65</v>
      </c>
      <c r="AB22" s="94">
        <v>3411200</v>
      </c>
      <c r="AC22" s="10">
        <v>109</v>
      </c>
      <c r="AD22" s="2">
        <f t="shared" si="0"/>
        <v>1.2800000000000011</v>
      </c>
      <c r="AE22" s="137">
        <f t="shared" si="1"/>
        <v>1.1882658744894137E-2</v>
      </c>
    </row>
    <row r="23" spans="1:31" x14ac:dyDescent="0.25">
      <c r="W23" s="132">
        <v>42768</v>
      </c>
      <c r="X23" s="10">
        <v>108.08</v>
      </c>
      <c r="Y23" s="10">
        <v>108.68</v>
      </c>
      <c r="Z23" s="10">
        <v>106.85</v>
      </c>
      <c r="AA23" s="10">
        <v>108.36</v>
      </c>
      <c r="AB23" s="94">
        <v>4714500</v>
      </c>
      <c r="AC23" s="10">
        <v>107.72</v>
      </c>
      <c r="AD23" s="2">
        <f t="shared" si="0"/>
        <v>1.8300000000000125</v>
      </c>
      <c r="AE23" s="137">
        <f t="shared" si="1"/>
        <v>1.6737957969126249E-3</v>
      </c>
    </row>
    <row r="24" spans="1:31" x14ac:dyDescent="0.25">
      <c r="W24" s="132">
        <v>42767</v>
      </c>
      <c r="X24" s="10">
        <v>109.63</v>
      </c>
      <c r="Y24" s="10">
        <v>109.91</v>
      </c>
      <c r="Z24" s="10">
        <v>107.9</v>
      </c>
      <c r="AA24" s="10">
        <v>108.18</v>
      </c>
      <c r="AB24" s="94">
        <v>4670100</v>
      </c>
      <c r="AC24" s="10">
        <v>107.54</v>
      </c>
      <c r="AD24" s="2">
        <f t="shared" si="0"/>
        <v>2.0099999999999909</v>
      </c>
      <c r="AE24" s="137">
        <f t="shared" si="1"/>
        <v>-1.3575490735644791E-2</v>
      </c>
    </row>
    <row r="25" spans="1:31" x14ac:dyDescent="0.25">
      <c r="W25" s="132">
        <v>42766</v>
      </c>
      <c r="X25" s="10">
        <v>109.04</v>
      </c>
      <c r="Y25" s="10">
        <v>109.81</v>
      </c>
      <c r="Z25" s="10">
        <v>108.39</v>
      </c>
      <c r="AA25" s="10">
        <v>109.67</v>
      </c>
      <c r="AB25" s="94">
        <v>3945700</v>
      </c>
      <c r="AC25" s="10">
        <v>109.02</v>
      </c>
      <c r="AD25" s="2">
        <f t="shared" si="0"/>
        <v>1.4200000000000017</v>
      </c>
      <c r="AE25" s="137">
        <f t="shared" si="1"/>
        <v>4.6074456321414381E-3</v>
      </c>
    </row>
    <row r="26" spans="1:31" x14ac:dyDescent="0.25">
      <c r="W26" s="132">
        <v>42765</v>
      </c>
      <c r="X26" s="10">
        <v>109.31</v>
      </c>
      <c r="Y26" s="10">
        <v>109.6</v>
      </c>
      <c r="Z26" s="10">
        <v>108.25</v>
      </c>
      <c r="AA26" s="10">
        <v>109.17</v>
      </c>
      <c r="AB26" s="94">
        <v>2909900</v>
      </c>
      <c r="AC26" s="10">
        <v>108.52</v>
      </c>
      <c r="AD26" s="2">
        <f t="shared" si="0"/>
        <v>1.3499999999999943</v>
      </c>
      <c r="AE26" s="137">
        <f t="shared" si="1"/>
        <v>-4.8601558917927834E-3</v>
      </c>
    </row>
    <row r="27" spans="1:31" x14ac:dyDescent="0.25">
      <c r="L27" t="s">
        <v>212</v>
      </c>
      <c r="M27" s="2">
        <f>M35+K35-F35</f>
        <v>114.84999999999991</v>
      </c>
      <c r="W27" s="132">
        <v>42762</v>
      </c>
      <c r="X27" s="10">
        <v>110.15</v>
      </c>
      <c r="Y27" s="10">
        <v>110.9</v>
      </c>
      <c r="Z27" s="10">
        <v>109.61</v>
      </c>
      <c r="AA27" s="10">
        <v>109.7</v>
      </c>
      <c r="AB27" s="94">
        <v>2830000</v>
      </c>
      <c r="AC27" s="10">
        <v>109.05</v>
      </c>
      <c r="AD27" s="2">
        <f t="shared" si="0"/>
        <v>1.2900000000000063</v>
      </c>
      <c r="AE27" s="137">
        <f t="shared" si="1"/>
        <v>-6.0158599945310254E-3</v>
      </c>
    </row>
    <row r="28" spans="1:31" x14ac:dyDescent="0.25">
      <c r="A28" s="262" t="s">
        <v>1</v>
      </c>
      <c r="B28" s="262" t="s">
        <v>2</v>
      </c>
      <c r="C28" s="262" t="s">
        <v>4</v>
      </c>
      <c r="D28" s="263" t="s">
        <v>5</v>
      </c>
      <c r="E28" s="263" t="s">
        <v>94</v>
      </c>
      <c r="F28" s="263" t="s">
        <v>60</v>
      </c>
      <c r="G28" s="262" t="s">
        <v>3</v>
      </c>
      <c r="H28" s="262" t="s">
        <v>6</v>
      </c>
      <c r="I28" s="262" t="s">
        <v>7</v>
      </c>
      <c r="J28" s="262" t="s">
        <v>95</v>
      </c>
      <c r="K28" s="262" t="s">
        <v>61</v>
      </c>
      <c r="L28" s="262" t="s">
        <v>77</v>
      </c>
      <c r="M28" s="262" t="s">
        <v>38</v>
      </c>
      <c r="W28" s="132">
        <v>42761</v>
      </c>
      <c r="X28" s="10">
        <v>110.8</v>
      </c>
      <c r="Y28" s="10">
        <v>111.49</v>
      </c>
      <c r="Z28" s="10">
        <v>109.53</v>
      </c>
      <c r="AA28" s="10">
        <v>110.36</v>
      </c>
      <c r="AB28" s="94">
        <v>3996000</v>
      </c>
      <c r="AC28" s="10">
        <v>109.71</v>
      </c>
      <c r="AD28" s="2">
        <f t="shared" si="0"/>
        <v>1.9599999999999937</v>
      </c>
      <c r="AE28" s="137">
        <f t="shared" si="1"/>
        <v>-5.3490480507706328E-3</v>
      </c>
    </row>
    <row r="29" spans="1:31" x14ac:dyDescent="0.25">
      <c r="A29" s="264" t="s">
        <v>54</v>
      </c>
      <c r="B29" s="265">
        <v>42214</v>
      </c>
      <c r="C29" s="260">
        <v>10</v>
      </c>
      <c r="D29" s="261">
        <v>99.58</v>
      </c>
      <c r="E29" s="261">
        <v>0</v>
      </c>
      <c r="F29" s="261">
        <f>C29*D29</f>
        <v>995.8</v>
      </c>
      <c r="G29" s="265">
        <v>42237</v>
      </c>
      <c r="H29" s="260">
        <v>10</v>
      </c>
      <c r="I29" s="260">
        <v>99.56</v>
      </c>
      <c r="J29" s="261">
        <v>0.02</v>
      </c>
      <c r="K29" s="260">
        <f>I29*H29-J29</f>
        <v>995.58</v>
      </c>
      <c r="L29" s="265">
        <v>42257</v>
      </c>
      <c r="M29" s="261">
        <v>9.6</v>
      </c>
      <c r="W29" s="132">
        <v>42760</v>
      </c>
      <c r="X29" s="10">
        <v>111.87</v>
      </c>
      <c r="Y29" s="10">
        <v>112.51</v>
      </c>
      <c r="Z29" s="10">
        <v>108.78</v>
      </c>
      <c r="AA29" s="10">
        <v>110.96</v>
      </c>
      <c r="AB29" s="94">
        <v>5054000</v>
      </c>
      <c r="AC29" s="10">
        <v>110.3</v>
      </c>
      <c r="AD29" s="2">
        <f t="shared" si="0"/>
        <v>3.730000000000004</v>
      </c>
      <c r="AE29" s="137">
        <f t="shared" si="1"/>
        <v>-5.8584948174854601E-3</v>
      </c>
    </row>
    <row r="30" spans="1:31" x14ac:dyDescent="0.25">
      <c r="A30" s="267" t="s">
        <v>71</v>
      </c>
      <c r="B30" s="265">
        <v>42219</v>
      </c>
      <c r="C30" s="260">
        <v>5</v>
      </c>
      <c r="D30" s="261">
        <v>97.95</v>
      </c>
      <c r="E30" s="261">
        <v>0</v>
      </c>
      <c r="F30" s="261">
        <f>C30*D30</f>
        <v>489.75</v>
      </c>
      <c r="G30" s="265">
        <v>42304</v>
      </c>
      <c r="H30" s="266">
        <v>15</v>
      </c>
      <c r="I30" s="261">
        <v>98.75</v>
      </c>
      <c r="J30" s="261">
        <v>0.03</v>
      </c>
      <c r="K30" s="260">
        <f>I30*H30-J30</f>
        <v>1481.22</v>
      </c>
      <c r="L30" s="260"/>
      <c r="M30" s="260"/>
      <c r="W30" s="132">
        <v>42759</v>
      </c>
      <c r="X30" s="10">
        <v>110.68</v>
      </c>
      <c r="Y30" s="10">
        <v>111.69</v>
      </c>
      <c r="Z30" s="10">
        <v>110.34</v>
      </c>
      <c r="AA30" s="10">
        <v>111.61</v>
      </c>
      <c r="AB30" s="94">
        <v>3240000</v>
      </c>
      <c r="AC30" s="10">
        <v>110.95</v>
      </c>
      <c r="AD30" s="2">
        <f t="shared" si="0"/>
        <v>1.3499999999999943</v>
      </c>
      <c r="AE30" s="137">
        <f t="shared" si="1"/>
        <v>1.1486917677089981E-2</v>
      </c>
    </row>
    <row r="31" spans="1:31" x14ac:dyDescent="0.25">
      <c r="A31" s="260"/>
      <c r="B31" s="265">
        <v>42272</v>
      </c>
      <c r="C31" s="260">
        <v>10</v>
      </c>
      <c r="D31" s="261">
        <v>88.6</v>
      </c>
      <c r="E31" s="261">
        <v>0</v>
      </c>
      <c r="F31" s="261">
        <f>C31*D31</f>
        <v>886</v>
      </c>
      <c r="G31" s="260"/>
      <c r="H31" s="260"/>
      <c r="I31" s="260"/>
      <c r="J31" s="260"/>
      <c r="K31" s="260"/>
      <c r="L31" s="260"/>
      <c r="M31" s="260"/>
      <c r="W31" s="132">
        <v>42758</v>
      </c>
      <c r="X31" s="10">
        <v>110.84</v>
      </c>
      <c r="Y31" s="10">
        <v>111.3</v>
      </c>
      <c r="Z31" s="10">
        <v>109.98</v>
      </c>
      <c r="AA31" s="10">
        <v>110.34</v>
      </c>
      <c r="AB31" s="94">
        <v>2296600</v>
      </c>
      <c r="AC31" s="10">
        <v>109.69</v>
      </c>
      <c r="AD31" s="2">
        <f t="shared" si="0"/>
        <v>1.3199999999999932</v>
      </c>
      <c r="AE31" s="137">
        <f t="shared" si="1"/>
        <v>-3.9952783074548304E-3</v>
      </c>
    </row>
    <row r="32" spans="1:31" x14ac:dyDescent="0.25">
      <c r="A32" s="260"/>
      <c r="B32" s="260"/>
      <c r="C32" s="260"/>
      <c r="D32" s="261"/>
      <c r="E32" s="261"/>
      <c r="F32" s="261"/>
      <c r="G32" s="260"/>
      <c r="H32" s="260"/>
      <c r="I32" s="260"/>
      <c r="J32" s="260"/>
      <c r="K32" s="260"/>
      <c r="L32" s="260"/>
      <c r="M32" s="260"/>
      <c r="W32" s="132">
        <v>42755</v>
      </c>
      <c r="X32" s="10">
        <v>110.95</v>
      </c>
      <c r="Y32" s="10">
        <v>111.1</v>
      </c>
      <c r="Z32" s="10">
        <v>110.03</v>
      </c>
      <c r="AA32" s="10">
        <v>110.79</v>
      </c>
      <c r="AB32" s="94">
        <v>3134300</v>
      </c>
      <c r="AC32" s="10">
        <v>110.13</v>
      </c>
      <c r="AD32" s="2">
        <f t="shared" si="0"/>
        <v>1.0699999999999932</v>
      </c>
      <c r="AE32" s="137">
        <f t="shared" si="1"/>
        <v>5.4510765876258915E-4</v>
      </c>
    </row>
    <row r="33" spans="1:31" x14ac:dyDescent="0.25">
      <c r="A33" s="260"/>
      <c r="B33" s="260"/>
      <c r="C33" s="260"/>
      <c r="D33" s="261"/>
      <c r="E33" s="261"/>
      <c r="F33" s="261"/>
      <c r="G33" s="260"/>
      <c r="H33" s="260"/>
      <c r="I33" s="260"/>
      <c r="J33" s="260"/>
      <c r="K33" s="260"/>
      <c r="L33" s="260"/>
      <c r="M33" s="260"/>
      <c r="W33" s="132">
        <v>42754</v>
      </c>
      <c r="X33" s="10">
        <v>111.03</v>
      </c>
      <c r="Y33" s="10">
        <v>111.6</v>
      </c>
      <c r="Z33" s="10">
        <v>110.02</v>
      </c>
      <c r="AA33" s="10">
        <v>110.73</v>
      </c>
      <c r="AB33" s="94">
        <v>2828200</v>
      </c>
      <c r="AC33" s="10">
        <v>110.07</v>
      </c>
      <c r="AD33" s="2">
        <f t="shared" si="0"/>
        <v>1.5799999999999983</v>
      </c>
      <c r="AE33" s="137">
        <f t="shared" si="1"/>
        <v>2.7329871549603979E-3</v>
      </c>
    </row>
    <row r="34" spans="1:31" x14ac:dyDescent="0.25">
      <c r="A34" s="260"/>
      <c r="B34" s="260"/>
      <c r="C34" s="260"/>
      <c r="D34" s="261"/>
      <c r="E34" s="261"/>
      <c r="F34" s="261"/>
      <c r="G34" s="260"/>
      <c r="H34" s="260"/>
      <c r="I34" s="260"/>
      <c r="J34" s="260"/>
      <c r="K34" s="260"/>
      <c r="L34" s="260"/>
      <c r="M34" s="260"/>
      <c r="W34" s="132">
        <v>42753</v>
      </c>
      <c r="X34" s="10">
        <v>110.2</v>
      </c>
      <c r="Y34" s="10">
        <v>110.89</v>
      </c>
      <c r="Z34" s="10">
        <v>109.82</v>
      </c>
      <c r="AA34" s="10">
        <v>110.42</v>
      </c>
      <c r="AB34" s="94">
        <v>2600300</v>
      </c>
      <c r="AC34" s="10">
        <v>109.77</v>
      </c>
      <c r="AD34" s="2">
        <f t="shared" si="0"/>
        <v>1.0700000000000074</v>
      </c>
      <c r="AE34" s="137">
        <f t="shared" si="1"/>
        <v>4.1163556531285117E-3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42752</v>
      </c>
      <c r="X35" s="10">
        <v>109.78</v>
      </c>
      <c r="Y35" s="10">
        <v>110.27</v>
      </c>
      <c r="Z35" s="10">
        <v>109.4</v>
      </c>
      <c r="AA35" s="10">
        <v>109.97</v>
      </c>
      <c r="AB35" s="94">
        <v>2240100</v>
      </c>
      <c r="AC35" s="10">
        <v>109.32</v>
      </c>
      <c r="AD35" s="2">
        <f t="shared" si="0"/>
        <v>0.86999999999999034</v>
      </c>
      <c r="AE35" s="137">
        <f t="shared" si="1"/>
        <v>-2.2816464360683186E-3</v>
      </c>
    </row>
    <row r="36" spans="1:31" x14ac:dyDescent="0.25">
      <c r="A36" s="260"/>
      <c r="B36" s="260"/>
      <c r="C36" s="260"/>
      <c r="D36" s="261"/>
      <c r="E36" s="261"/>
      <c r="F36" s="261"/>
      <c r="G36" s="260"/>
      <c r="H36" s="260"/>
      <c r="I36" s="260"/>
      <c r="J36" s="260"/>
      <c r="K36" s="260"/>
      <c r="L36" s="260"/>
      <c r="M36" s="260"/>
      <c r="W36" s="132">
        <v>42748</v>
      </c>
      <c r="X36" s="10">
        <v>110.93</v>
      </c>
      <c r="Y36" s="10">
        <v>111.26</v>
      </c>
      <c r="Z36" s="10">
        <v>109.85</v>
      </c>
      <c r="AA36" s="10">
        <v>110.22</v>
      </c>
      <c r="AB36" s="94">
        <v>2880600</v>
      </c>
      <c r="AC36" s="10">
        <v>109.57</v>
      </c>
      <c r="AD36" s="2">
        <f t="shared" si="0"/>
        <v>1.4100000000000108</v>
      </c>
      <c r="AE36" s="137">
        <f t="shared" si="1"/>
        <v>-5.3558460421205822E-3</v>
      </c>
    </row>
    <row r="37" spans="1:31" x14ac:dyDescent="0.25">
      <c r="A37" s="260"/>
      <c r="B37" s="260"/>
      <c r="C37" s="260"/>
      <c r="D37" s="261"/>
      <c r="E37" s="261"/>
      <c r="F37" s="261"/>
      <c r="G37" s="260"/>
      <c r="H37" s="260"/>
      <c r="I37" s="260"/>
      <c r="J37" s="260"/>
      <c r="K37" s="260"/>
      <c r="L37" s="260"/>
      <c r="M37" s="260"/>
      <c r="W37" s="132">
        <v>42747</v>
      </c>
      <c r="X37" s="10">
        <v>111.14</v>
      </c>
      <c r="Y37" s="10">
        <v>111.14</v>
      </c>
      <c r="Z37" s="10">
        <v>109.71</v>
      </c>
      <c r="AA37" s="10">
        <v>110.82</v>
      </c>
      <c r="AB37" s="94">
        <v>2644600</v>
      </c>
      <c r="AC37" s="10">
        <v>110.16</v>
      </c>
      <c r="AD37" s="2">
        <f t="shared" si="0"/>
        <v>1.4300000000000068</v>
      </c>
      <c r="AE37" s="137">
        <f t="shared" si="1"/>
        <v>-1.6313213703099683E-3</v>
      </c>
    </row>
    <row r="38" spans="1:31" x14ac:dyDescent="0.25">
      <c r="W38" s="132">
        <v>42746</v>
      </c>
      <c r="X38" s="10">
        <v>111.62</v>
      </c>
      <c r="Y38" s="10">
        <v>111.62</v>
      </c>
      <c r="Z38" s="10">
        <v>110.58</v>
      </c>
      <c r="AA38" s="10">
        <v>111</v>
      </c>
      <c r="AB38" s="94">
        <v>2746200</v>
      </c>
      <c r="AC38" s="10">
        <v>110.34</v>
      </c>
      <c r="AD38" s="2">
        <f t="shared" si="0"/>
        <v>1.0400000000000063</v>
      </c>
      <c r="AE38" s="137">
        <f t="shared" si="1"/>
        <v>-2.3508137432187715E-3</v>
      </c>
    </row>
    <row r="39" spans="1:31" ht="20.25" thickBot="1" x14ac:dyDescent="0.35">
      <c r="P39" s="703" t="s">
        <v>78</v>
      </c>
      <c r="Q39" s="703"/>
      <c r="W39" s="132">
        <v>42745</v>
      </c>
      <c r="X39" s="10">
        <v>111.75</v>
      </c>
      <c r="Y39" s="10">
        <v>111.83</v>
      </c>
      <c r="Z39" s="10">
        <v>111.06</v>
      </c>
      <c r="AA39" s="10">
        <v>111.26</v>
      </c>
      <c r="AB39" s="94">
        <v>1800400</v>
      </c>
      <c r="AC39" s="10">
        <v>110.6</v>
      </c>
      <c r="AD39" s="2">
        <f t="shared" si="0"/>
        <v>0.76999999999999602</v>
      </c>
      <c r="AE39" s="137">
        <f t="shared" si="1"/>
        <v>-2.1652832912306685E-3</v>
      </c>
    </row>
    <row r="40" spans="1:31" ht="15.75" thickTop="1" x14ac:dyDescent="0.25">
      <c r="O40" s="2"/>
      <c r="P40" s="82">
        <v>1.1000000000000001</v>
      </c>
      <c r="Q40" s="82">
        <f>P40*$Q$4</f>
        <v>123.35400000000001</v>
      </c>
      <c r="W40" s="132">
        <v>42744</v>
      </c>
      <c r="X40" s="10">
        <v>112.7</v>
      </c>
      <c r="Y40" s="10">
        <v>112.7</v>
      </c>
      <c r="Z40" s="10">
        <v>111.27</v>
      </c>
      <c r="AA40" s="10">
        <v>111.5</v>
      </c>
      <c r="AB40" s="94">
        <v>2434100</v>
      </c>
      <c r="AC40" s="10">
        <v>110.84</v>
      </c>
      <c r="AD40" s="2">
        <f t="shared" si="0"/>
        <v>1.4300000000000068</v>
      </c>
      <c r="AE40" s="137">
        <f t="shared" si="1"/>
        <v>-9.2956739363603269E-3</v>
      </c>
    </row>
    <row r="41" spans="1:31" x14ac:dyDescent="0.25">
      <c r="O41" s="2"/>
      <c r="P41" s="82">
        <v>1.0900000000000001</v>
      </c>
      <c r="Q41" s="82">
        <f t="shared" ref="Q41:Q60" si="2">P41*$Q$4</f>
        <v>122.23260000000001</v>
      </c>
      <c r="W41" s="132">
        <v>42741</v>
      </c>
      <c r="X41" s="10">
        <v>111.42</v>
      </c>
      <c r="Y41" s="10">
        <v>112.83</v>
      </c>
      <c r="Z41" s="10">
        <v>111.06</v>
      </c>
      <c r="AA41" s="10">
        <v>112.55</v>
      </c>
      <c r="AB41" s="94">
        <v>2622000</v>
      </c>
      <c r="AC41" s="10">
        <v>111.88</v>
      </c>
      <c r="AD41" s="2">
        <f t="shared" si="0"/>
        <v>1.769999999999996</v>
      </c>
      <c r="AE41" s="137">
        <f t="shared" si="1"/>
        <v>1.0750745324780819E-2</v>
      </c>
    </row>
    <row r="42" spans="1:31" ht="20.25" thickBot="1" x14ac:dyDescent="0.35">
      <c r="O42" s="2"/>
      <c r="P42" s="82">
        <v>1.08</v>
      </c>
      <c r="Q42" s="82">
        <f t="shared" si="2"/>
        <v>121.11120000000001</v>
      </c>
      <c r="T42" s="90" t="s">
        <v>113</v>
      </c>
      <c r="W42" s="132">
        <v>42740</v>
      </c>
      <c r="X42" s="10">
        <v>111.17</v>
      </c>
      <c r="Y42" s="10">
        <v>111.94</v>
      </c>
      <c r="Z42" s="10">
        <v>110.56</v>
      </c>
      <c r="AA42" s="10">
        <v>111.35</v>
      </c>
      <c r="AB42" s="94">
        <v>3344900</v>
      </c>
      <c r="AC42" s="10">
        <v>110.69</v>
      </c>
      <c r="AD42" s="2">
        <f t="shared" si="0"/>
        <v>1.3799999999999955</v>
      </c>
      <c r="AE42" s="137">
        <f t="shared" si="1"/>
        <v>4.0820029027577309E-3</v>
      </c>
    </row>
    <row r="43" spans="1:31" ht="15.75" thickTop="1" x14ac:dyDescent="0.25">
      <c r="O43" s="2"/>
      <c r="P43" s="82">
        <v>1.07</v>
      </c>
      <c r="Q43" s="82">
        <f t="shared" si="2"/>
        <v>119.9898</v>
      </c>
      <c r="T43" s="127" t="s">
        <v>98</v>
      </c>
      <c r="U43" s="97">
        <v>112.69</v>
      </c>
      <c r="W43" s="132">
        <v>42739</v>
      </c>
      <c r="X43" s="10">
        <v>111.46</v>
      </c>
      <c r="Y43" s="10">
        <v>111.7</v>
      </c>
      <c r="Z43" s="10">
        <v>110.58</v>
      </c>
      <c r="AA43" s="10">
        <v>110.9</v>
      </c>
      <c r="AB43" s="94">
        <v>3091400</v>
      </c>
      <c r="AC43" s="10">
        <v>110.24</v>
      </c>
      <c r="AD43" s="2">
        <f t="shared" si="0"/>
        <v>1.1200000000000045</v>
      </c>
      <c r="AE43" s="137">
        <f t="shared" si="1"/>
        <v>6.3538168285370844E-4</v>
      </c>
    </row>
    <row r="44" spans="1:31" x14ac:dyDescent="0.25">
      <c r="O44" s="2"/>
      <c r="P44" s="82">
        <v>1.06</v>
      </c>
      <c r="Q44" s="82">
        <f t="shared" si="2"/>
        <v>118.86840000000001</v>
      </c>
      <c r="T44" s="92" t="s">
        <v>99</v>
      </c>
      <c r="U44" s="87">
        <v>112.83</v>
      </c>
      <c r="W44" s="132">
        <v>42738</v>
      </c>
      <c r="X44" s="10">
        <v>110.39</v>
      </c>
      <c r="Y44" s="10">
        <v>110.96</v>
      </c>
      <c r="Z44" s="10">
        <v>110</v>
      </c>
      <c r="AA44" s="10">
        <v>110.83</v>
      </c>
      <c r="AB44" s="94">
        <v>2739600</v>
      </c>
      <c r="AC44" s="10">
        <v>110.17</v>
      </c>
      <c r="AD44" s="2">
        <f t="shared" si="0"/>
        <v>0.95999999999999375</v>
      </c>
      <c r="AE44" s="137">
        <f t="shared" si="1"/>
        <v>1.1012205194090186E-2</v>
      </c>
    </row>
    <row r="45" spans="1:31" x14ac:dyDescent="0.25">
      <c r="O45" s="2"/>
      <c r="P45" s="82">
        <v>1.05</v>
      </c>
      <c r="Q45" s="82">
        <f t="shared" si="2"/>
        <v>117.747</v>
      </c>
      <c r="T45" s="92" t="s">
        <v>100</v>
      </c>
      <c r="U45" s="87" t="s">
        <v>129</v>
      </c>
      <c r="W45" s="132">
        <v>42734</v>
      </c>
      <c r="X45" s="10">
        <v>110.59</v>
      </c>
      <c r="Y45" s="10">
        <v>110.79</v>
      </c>
      <c r="Z45" s="10">
        <v>109.38</v>
      </c>
      <c r="AA45" s="10">
        <v>109.62</v>
      </c>
      <c r="AB45" s="94">
        <v>2200500</v>
      </c>
      <c r="AC45" s="10">
        <v>108.97</v>
      </c>
      <c r="AD45" s="2">
        <f t="shared" si="0"/>
        <v>1.4100000000000108</v>
      </c>
      <c r="AE45" s="137">
        <f t="shared" si="1"/>
        <v>-8.4622383985442085E-3</v>
      </c>
    </row>
    <row r="46" spans="1:31" x14ac:dyDescent="0.25">
      <c r="O46" s="2"/>
      <c r="P46" s="82">
        <v>1.04</v>
      </c>
      <c r="Q46" s="82">
        <f t="shared" si="2"/>
        <v>116.62560000000001</v>
      </c>
      <c r="T46" s="92" t="s">
        <v>101</v>
      </c>
      <c r="U46" s="87" t="s">
        <v>129</v>
      </c>
      <c r="W46" s="132">
        <v>42733</v>
      </c>
      <c r="X46" s="10">
        <v>110.28</v>
      </c>
      <c r="Y46" s="10">
        <v>110.82</v>
      </c>
      <c r="Z46" s="10">
        <v>110.03</v>
      </c>
      <c r="AA46" s="10">
        <v>110.55</v>
      </c>
      <c r="AB46" s="94">
        <v>2903600</v>
      </c>
      <c r="AC46" s="10">
        <v>109.9</v>
      </c>
      <c r="AD46" s="2">
        <f t="shared" si="0"/>
        <v>0.78999999999999204</v>
      </c>
      <c r="AE46" s="137">
        <f t="shared" si="1"/>
        <v>3.2864706956363676E-3</v>
      </c>
    </row>
    <row r="47" spans="1:31" x14ac:dyDescent="0.25">
      <c r="O47" s="2"/>
      <c r="P47" s="82">
        <v>1.03</v>
      </c>
      <c r="Q47" s="82">
        <f t="shared" si="2"/>
        <v>115.5042</v>
      </c>
      <c r="T47" s="92" t="s">
        <v>102</v>
      </c>
      <c r="U47" s="87">
        <v>118.4</v>
      </c>
      <c r="W47" s="132">
        <v>42732</v>
      </c>
      <c r="X47" s="10">
        <v>111</v>
      </c>
      <c r="Y47" s="10">
        <v>111.09</v>
      </c>
      <c r="Z47" s="10">
        <v>110.1</v>
      </c>
      <c r="AA47" s="10">
        <v>110.19</v>
      </c>
      <c r="AB47" s="94">
        <v>1894800</v>
      </c>
      <c r="AC47" s="10">
        <v>109.54</v>
      </c>
      <c r="AD47" s="2">
        <f t="shared" si="0"/>
        <v>0.99000000000000909</v>
      </c>
      <c r="AE47" s="137">
        <f t="shared" si="1"/>
        <v>-7.0703408266858947E-3</v>
      </c>
    </row>
    <row r="48" spans="1:31" x14ac:dyDescent="0.25">
      <c r="O48" s="2"/>
      <c r="P48" s="82">
        <v>1.02</v>
      </c>
      <c r="Q48" s="82">
        <f t="shared" si="2"/>
        <v>114.3828</v>
      </c>
      <c r="T48" s="92" t="s">
        <v>103</v>
      </c>
      <c r="U48" s="87">
        <v>1.0463199999999999</v>
      </c>
      <c r="W48" s="132">
        <v>42731</v>
      </c>
      <c r="X48" s="10">
        <v>111.04</v>
      </c>
      <c r="Y48" s="10">
        <v>111.13</v>
      </c>
      <c r="Z48" s="10">
        <v>110.5</v>
      </c>
      <c r="AA48" s="10">
        <v>110.98</v>
      </c>
      <c r="AB48" s="94">
        <v>1067300</v>
      </c>
      <c r="AC48" s="10">
        <v>110.32</v>
      </c>
      <c r="AD48" s="2">
        <f t="shared" si="0"/>
        <v>0.62999999999999545</v>
      </c>
      <c r="AE48" s="137">
        <f t="shared" si="1"/>
        <v>2.9090909090907502E-3</v>
      </c>
    </row>
    <row r="49" spans="15:31" x14ac:dyDescent="0.25">
      <c r="O49" s="2"/>
      <c r="P49" s="82">
        <v>1.01</v>
      </c>
      <c r="Q49" s="82">
        <f t="shared" si="2"/>
        <v>113.26139999999999</v>
      </c>
      <c r="T49" s="92" t="s">
        <v>122</v>
      </c>
      <c r="U49" s="87" t="s">
        <v>419</v>
      </c>
      <c r="W49" s="132">
        <v>42727</v>
      </c>
      <c r="X49" s="10">
        <v>110.35</v>
      </c>
      <c r="Y49" s="10">
        <v>110.83</v>
      </c>
      <c r="Z49" s="10">
        <v>110.04</v>
      </c>
      <c r="AA49" s="10">
        <v>110.65</v>
      </c>
      <c r="AB49" s="94">
        <v>1303200</v>
      </c>
      <c r="AC49" s="10">
        <v>110</v>
      </c>
      <c r="AD49" s="2">
        <f t="shared" si="0"/>
        <v>0.78999999999999204</v>
      </c>
      <c r="AE49" s="137">
        <f t="shared" si="1"/>
        <v>1.7302613605318928E-3</v>
      </c>
    </row>
    <row r="50" spans="15:31" x14ac:dyDescent="0.25">
      <c r="O50" s="2"/>
      <c r="P50" s="82">
        <v>1</v>
      </c>
      <c r="Q50" s="82">
        <f t="shared" si="2"/>
        <v>112.14</v>
      </c>
      <c r="T50" s="92"/>
      <c r="U50" s="87"/>
      <c r="W50" s="132">
        <v>42726</v>
      </c>
      <c r="X50" s="10">
        <v>110.58</v>
      </c>
      <c r="Y50" s="10">
        <v>110.76</v>
      </c>
      <c r="Z50" s="10">
        <v>109.69</v>
      </c>
      <c r="AA50" s="10">
        <v>110.46</v>
      </c>
      <c r="AB50" s="94">
        <v>2087900</v>
      </c>
      <c r="AC50" s="10">
        <v>109.81</v>
      </c>
      <c r="AD50" s="2">
        <f t="shared" si="0"/>
        <v>1.0700000000000074</v>
      </c>
      <c r="AE50" s="137">
        <f t="shared" si="1"/>
        <v>-2.7312454479244686E-4</v>
      </c>
    </row>
    <row r="51" spans="15:31" x14ac:dyDescent="0.25">
      <c r="O51" s="2"/>
      <c r="P51" s="82">
        <v>0.99</v>
      </c>
      <c r="Q51" s="82">
        <f t="shared" si="2"/>
        <v>111.01860000000001</v>
      </c>
      <c r="T51" s="92" t="s">
        <v>105</v>
      </c>
      <c r="U51" s="87" t="s">
        <v>737</v>
      </c>
      <c r="W51" s="132">
        <v>42725</v>
      </c>
      <c r="X51" s="10">
        <v>110.94</v>
      </c>
      <c r="Y51" s="10">
        <v>111.13</v>
      </c>
      <c r="Z51" s="10">
        <v>110.47</v>
      </c>
      <c r="AA51" s="10">
        <v>110.49</v>
      </c>
      <c r="AB51" s="94">
        <v>2078700</v>
      </c>
      <c r="AC51" s="10">
        <v>109.84</v>
      </c>
      <c r="AD51" s="2">
        <f t="shared" si="0"/>
        <v>0.65999999999999659</v>
      </c>
      <c r="AE51" s="137">
        <f t="shared" si="1"/>
        <v>-1.4545454545453751E-3</v>
      </c>
    </row>
    <row r="52" spans="15:31" x14ac:dyDescent="0.25">
      <c r="O52" s="2"/>
      <c r="P52" s="82">
        <v>0.98</v>
      </c>
      <c r="Q52" s="82">
        <f t="shared" si="2"/>
        <v>109.8972</v>
      </c>
      <c r="T52" s="92" t="s">
        <v>106</v>
      </c>
      <c r="U52" s="87" t="s">
        <v>738</v>
      </c>
      <c r="W52" s="132">
        <v>42724</v>
      </c>
      <c r="X52" s="10">
        <v>110.93</v>
      </c>
      <c r="Y52" s="10">
        <v>111</v>
      </c>
      <c r="Z52" s="10">
        <v>110.15</v>
      </c>
      <c r="AA52" s="10">
        <v>110.65</v>
      </c>
      <c r="AB52" s="94">
        <v>2256000</v>
      </c>
      <c r="AC52" s="10">
        <v>110</v>
      </c>
      <c r="AD52" s="2">
        <f t="shared" si="0"/>
        <v>0.84999999999999432</v>
      </c>
      <c r="AE52" s="137">
        <f t="shared" si="1"/>
        <v>-1.4524328249818641E-3</v>
      </c>
    </row>
    <row r="53" spans="15:31" x14ac:dyDescent="0.25">
      <c r="P53" s="82">
        <v>0.97</v>
      </c>
      <c r="Q53" s="82">
        <f t="shared" si="2"/>
        <v>108.7758</v>
      </c>
      <c r="T53" s="92" t="s">
        <v>107</v>
      </c>
      <c r="U53" s="89">
        <v>3108508</v>
      </c>
      <c r="W53" s="132">
        <v>42723</v>
      </c>
      <c r="X53" s="10">
        <v>109.57</v>
      </c>
      <c r="Y53" s="10">
        <v>111.07</v>
      </c>
      <c r="Z53" s="10">
        <v>108.88</v>
      </c>
      <c r="AA53" s="10">
        <v>110.82</v>
      </c>
      <c r="AB53" s="94">
        <v>3838300</v>
      </c>
      <c r="AC53" s="10">
        <v>110.16</v>
      </c>
      <c r="AD53" s="2">
        <f t="shared" si="0"/>
        <v>2.1899999999999977</v>
      </c>
      <c r="AE53" s="137">
        <f t="shared" si="1"/>
        <v>2.1134593993325845E-2</v>
      </c>
    </row>
    <row r="54" spans="15:31" x14ac:dyDescent="0.25">
      <c r="P54" s="82">
        <v>0.96</v>
      </c>
      <c r="Q54" s="82">
        <f t="shared" si="2"/>
        <v>107.6544</v>
      </c>
      <c r="T54" s="92" t="s">
        <v>110</v>
      </c>
      <c r="U54" s="89">
        <v>3049460</v>
      </c>
      <c r="W54" s="132">
        <v>42720</v>
      </c>
      <c r="X54" s="10">
        <v>108.41</v>
      </c>
      <c r="Y54" s="10">
        <v>109.26</v>
      </c>
      <c r="Z54" s="10">
        <v>108.09</v>
      </c>
      <c r="AA54" s="10">
        <v>108.52</v>
      </c>
      <c r="AB54" s="94">
        <v>7986200</v>
      </c>
      <c r="AC54" s="10">
        <v>107.88</v>
      </c>
      <c r="AD54" s="2">
        <f t="shared" si="0"/>
        <v>1.1700000000000017</v>
      </c>
      <c r="AE54" s="137">
        <f t="shared" si="1"/>
        <v>3.6282444878592557E-3</v>
      </c>
    </row>
    <row r="55" spans="15:31" x14ac:dyDescent="0.25">
      <c r="P55" s="82">
        <v>0.95</v>
      </c>
      <c r="Q55" s="82">
        <f t="shared" si="2"/>
        <v>106.533</v>
      </c>
      <c r="T55" s="92" t="s">
        <v>108</v>
      </c>
      <c r="U55" s="87" t="s">
        <v>739</v>
      </c>
      <c r="W55" s="132">
        <v>42719</v>
      </c>
      <c r="X55" s="10">
        <v>109.04</v>
      </c>
      <c r="Y55" s="10">
        <v>109.43</v>
      </c>
      <c r="Z55" s="10">
        <v>108.12</v>
      </c>
      <c r="AA55" s="10">
        <v>108.13</v>
      </c>
      <c r="AB55" s="94">
        <v>3611100</v>
      </c>
      <c r="AC55" s="10">
        <v>107.49</v>
      </c>
      <c r="AD55" s="2">
        <f t="shared" si="0"/>
        <v>1.3100000000000023</v>
      </c>
      <c r="AE55" s="137">
        <f t="shared" si="1"/>
        <v>-1.040324065549636E-2</v>
      </c>
    </row>
    <row r="56" spans="15:31" x14ac:dyDescent="0.25">
      <c r="P56" s="82">
        <v>0.94</v>
      </c>
      <c r="Q56" s="82">
        <f t="shared" si="2"/>
        <v>105.41159999999999</v>
      </c>
      <c r="T56" s="92" t="s">
        <v>111</v>
      </c>
      <c r="U56" s="87">
        <v>18.36</v>
      </c>
      <c r="W56" s="132">
        <v>42718</v>
      </c>
      <c r="X56" s="10">
        <v>110.35</v>
      </c>
      <c r="Y56" s="10">
        <v>110.44</v>
      </c>
      <c r="Z56" s="10">
        <v>109.09</v>
      </c>
      <c r="AA56" s="10">
        <v>109.27</v>
      </c>
      <c r="AB56" s="94">
        <v>2761200</v>
      </c>
      <c r="AC56" s="10">
        <v>108.62</v>
      </c>
      <c r="AD56" s="2">
        <f t="shared" si="0"/>
        <v>1.3499999999999943</v>
      </c>
      <c r="AE56" s="137">
        <f t="shared" si="1"/>
        <v>-9.4838592011671219E-3</v>
      </c>
    </row>
    <row r="57" spans="15:31" x14ac:dyDescent="0.25">
      <c r="P57" s="82">
        <v>0.93</v>
      </c>
      <c r="Q57" s="82">
        <f t="shared" si="2"/>
        <v>104.29020000000001</v>
      </c>
      <c r="T57" s="92" t="s">
        <v>112</v>
      </c>
      <c r="U57" s="87">
        <v>6.12</v>
      </c>
      <c r="W57" s="132">
        <v>42717</v>
      </c>
      <c r="X57" s="10">
        <v>110.88</v>
      </c>
      <c r="Y57" s="10">
        <v>111.69</v>
      </c>
      <c r="Z57" s="10">
        <v>110.26</v>
      </c>
      <c r="AA57" s="10">
        <v>110.31</v>
      </c>
      <c r="AB57" s="94">
        <v>3807600</v>
      </c>
      <c r="AC57" s="10">
        <v>109.66</v>
      </c>
      <c r="AD57" s="2">
        <f t="shared" si="0"/>
        <v>1.4299999999999926</v>
      </c>
      <c r="AE57" s="137">
        <f t="shared" si="1"/>
        <v>-7.2899580827412436E-4</v>
      </c>
    </row>
    <row r="58" spans="15:31" x14ac:dyDescent="0.25">
      <c r="P58" s="82">
        <v>0.92</v>
      </c>
      <c r="Q58" s="82">
        <f t="shared" si="2"/>
        <v>103.1688</v>
      </c>
      <c r="T58" s="92" t="s">
        <v>109</v>
      </c>
      <c r="U58" s="87" t="s">
        <v>523</v>
      </c>
      <c r="W58" s="132">
        <v>42716</v>
      </c>
      <c r="X58" s="10">
        <v>109.42</v>
      </c>
      <c r="Y58" s="10">
        <v>110.5</v>
      </c>
      <c r="Z58" s="10">
        <v>108.79</v>
      </c>
      <c r="AA58" s="10">
        <v>110.39</v>
      </c>
      <c r="AB58" s="94">
        <v>4478700</v>
      </c>
      <c r="AC58" s="10">
        <v>109.74</v>
      </c>
      <c r="AD58" s="2">
        <f t="shared" si="0"/>
        <v>1.7099999999999937</v>
      </c>
      <c r="AE58" s="137">
        <f t="shared" si="1"/>
        <v>5.4975261132490516E-3</v>
      </c>
    </row>
    <row r="59" spans="15:31" x14ac:dyDescent="0.25">
      <c r="P59" s="82">
        <v>0.91</v>
      </c>
      <c r="Q59" s="82">
        <f t="shared" si="2"/>
        <v>102.04740000000001</v>
      </c>
      <c r="W59" s="132">
        <v>42713</v>
      </c>
      <c r="X59" s="10">
        <v>108.54</v>
      </c>
      <c r="Y59" s="10">
        <v>109.99</v>
      </c>
      <c r="Z59" s="10">
        <v>108.06</v>
      </c>
      <c r="AA59" s="10">
        <v>109.79</v>
      </c>
      <c r="AB59" s="94">
        <v>3428300</v>
      </c>
      <c r="AC59" s="10">
        <v>109.14</v>
      </c>
      <c r="AD59" s="2">
        <f t="shared" si="0"/>
        <v>1.9299999999999926</v>
      </c>
      <c r="AE59" s="137">
        <f t="shared" si="1"/>
        <v>1.2524352908432901E-2</v>
      </c>
    </row>
    <row r="60" spans="15:31" x14ac:dyDescent="0.25">
      <c r="P60" s="82">
        <v>0.9</v>
      </c>
      <c r="Q60" s="82">
        <f t="shared" si="2"/>
        <v>100.926</v>
      </c>
      <c r="W60" s="132">
        <v>42712</v>
      </c>
      <c r="X60" s="10">
        <v>109.67</v>
      </c>
      <c r="Y60" s="10">
        <v>109.68</v>
      </c>
      <c r="Z60" s="10">
        <v>108.14</v>
      </c>
      <c r="AA60" s="10">
        <v>108.43</v>
      </c>
      <c r="AB60" s="94">
        <v>3168500</v>
      </c>
      <c r="AC60" s="10">
        <v>107.79</v>
      </c>
      <c r="AD60" s="2">
        <f t="shared" si="0"/>
        <v>1.5400000000000063</v>
      </c>
      <c r="AE60" s="137">
        <f t="shared" si="1"/>
        <v>-1.1373016600935482E-2</v>
      </c>
    </row>
    <row r="61" spans="15:31" x14ac:dyDescent="0.25">
      <c r="W61" s="132">
        <v>42711</v>
      </c>
      <c r="X61" s="10">
        <v>107.5</v>
      </c>
      <c r="Y61" s="10">
        <v>109.84</v>
      </c>
      <c r="Z61" s="10">
        <v>107.08</v>
      </c>
      <c r="AA61" s="10">
        <v>109.68</v>
      </c>
      <c r="AB61" s="94">
        <v>4261800</v>
      </c>
      <c r="AC61" s="10">
        <v>109.03</v>
      </c>
      <c r="AD61" s="2">
        <f t="shared" si="0"/>
        <v>2.7600000000000051</v>
      </c>
      <c r="AE61" s="137">
        <f t="shared" si="1"/>
        <v>2.09757467927707E-2</v>
      </c>
    </row>
    <row r="62" spans="15:31" x14ac:dyDescent="0.25">
      <c r="W62" s="132">
        <v>42710</v>
      </c>
      <c r="X62" s="10">
        <v>107.3</v>
      </c>
      <c r="Y62" s="10">
        <v>107.7</v>
      </c>
      <c r="Z62" s="10">
        <v>107.08</v>
      </c>
      <c r="AA62" s="10">
        <v>107.43</v>
      </c>
      <c r="AB62" s="94">
        <v>2179500</v>
      </c>
      <c r="AC62" s="10">
        <v>106.79</v>
      </c>
      <c r="AD62" s="2">
        <f t="shared" si="0"/>
        <v>0.62000000000000455</v>
      </c>
      <c r="AE62" s="137">
        <f t="shared" si="1"/>
        <v>9.365049634757483E-5</v>
      </c>
    </row>
    <row r="63" spans="15:31" x14ac:dyDescent="0.25">
      <c r="W63" s="132">
        <v>42709</v>
      </c>
      <c r="X63" s="10">
        <v>108.72</v>
      </c>
      <c r="Y63" s="10">
        <v>108.8</v>
      </c>
      <c r="Z63" s="10">
        <v>107.36</v>
      </c>
      <c r="AA63" s="10">
        <v>107.42</v>
      </c>
      <c r="AB63" s="94">
        <v>3077800</v>
      </c>
      <c r="AC63" s="10">
        <v>106.78</v>
      </c>
      <c r="AD63" s="2">
        <f t="shared" si="0"/>
        <v>1.4399999999999977</v>
      </c>
      <c r="AE63" s="137">
        <f t="shared" si="1"/>
        <v>-7.4363264547313568E-3</v>
      </c>
    </row>
    <row r="64" spans="15:31" x14ac:dyDescent="0.25">
      <c r="W64" s="132">
        <v>42706</v>
      </c>
      <c r="X64" s="10">
        <v>108.04</v>
      </c>
      <c r="Y64" s="10">
        <v>108.57</v>
      </c>
      <c r="Z64" s="10">
        <v>107.48</v>
      </c>
      <c r="AA64" s="10">
        <v>108.22</v>
      </c>
      <c r="AB64" s="94">
        <v>3124400</v>
      </c>
      <c r="AC64" s="10">
        <v>107.58</v>
      </c>
      <c r="AD64" s="2">
        <f t="shared" si="0"/>
        <v>1.0899999999999892</v>
      </c>
      <c r="AE64" s="137">
        <f t="shared" si="1"/>
        <v>6.9262448521152375E-3</v>
      </c>
    </row>
    <row r="65" spans="23:31" x14ac:dyDescent="0.25">
      <c r="W65" s="132">
        <v>42705</v>
      </c>
      <c r="X65" s="10">
        <v>108</v>
      </c>
      <c r="Y65" s="10">
        <v>108.17</v>
      </c>
      <c r="Z65" s="10">
        <v>107.07</v>
      </c>
      <c r="AA65" s="10">
        <v>107.48</v>
      </c>
      <c r="AB65" s="94">
        <v>4055600</v>
      </c>
      <c r="AC65" s="10">
        <v>106.84</v>
      </c>
      <c r="AD65" s="2">
        <f t="shared" si="0"/>
        <v>1.1000000000000085</v>
      </c>
      <c r="AE65" s="137">
        <f t="shared" si="1"/>
        <v>-2.2413149047441072E-3</v>
      </c>
    </row>
    <row r="66" spans="23:31" x14ac:dyDescent="0.25">
      <c r="W66" s="132">
        <v>42704</v>
      </c>
      <c r="X66" s="10">
        <v>109.03</v>
      </c>
      <c r="Y66" s="10">
        <v>110</v>
      </c>
      <c r="Z66" s="10">
        <v>107.72</v>
      </c>
      <c r="AA66" s="10">
        <v>107.72</v>
      </c>
      <c r="AB66" s="94">
        <v>4112100</v>
      </c>
      <c r="AC66" s="10">
        <v>107.08</v>
      </c>
      <c r="AD66" s="2">
        <f t="shared" si="0"/>
        <v>2.2800000000000011</v>
      </c>
      <c r="AE66" s="137">
        <f t="shared" si="1"/>
        <v>-1.0351201478743133E-2</v>
      </c>
    </row>
    <row r="67" spans="23:31" x14ac:dyDescent="0.25">
      <c r="W67" s="132">
        <v>42703</v>
      </c>
      <c r="X67" s="10">
        <v>108.67</v>
      </c>
      <c r="Y67" s="10">
        <v>109.44</v>
      </c>
      <c r="Z67" s="10">
        <v>108.65</v>
      </c>
      <c r="AA67" s="10">
        <v>108.84</v>
      </c>
      <c r="AB67" s="94">
        <v>3133900</v>
      </c>
      <c r="AC67" s="10">
        <v>108.2</v>
      </c>
      <c r="AD67" s="2">
        <f>Y67-Z67</f>
        <v>0.78999999999999204</v>
      </c>
      <c r="AE67" s="137">
        <f>AC67/AC68-1</f>
        <v>3.617475187830399E-3</v>
      </c>
    </row>
    <row r="68" spans="23:31" x14ac:dyDescent="0.25">
      <c r="W68" s="132">
        <v>42702</v>
      </c>
      <c r="X68" s="10">
        <v>108.5</v>
      </c>
      <c r="Y68" s="10">
        <v>108.98</v>
      </c>
      <c r="Z68" s="10">
        <v>108.29</v>
      </c>
      <c r="AA68" s="10">
        <v>108.45</v>
      </c>
      <c r="AB68" s="94">
        <v>2453500</v>
      </c>
      <c r="AC68" s="10">
        <v>107.81</v>
      </c>
      <c r="AD68" s="2">
        <f>Y68-Z68</f>
        <v>0.68999999999999773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42797</v>
      </c>
      <c r="X2" s="10">
        <v>167.31</v>
      </c>
      <c r="Y2" s="10">
        <v>168.45</v>
      </c>
      <c r="Z2" s="10">
        <v>166.62</v>
      </c>
      <c r="AA2" s="10">
        <v>168.2</v>
      </c>
      <c r="AB2" s="94">
        <v>2254400</v>
      </c>
      <c r="AC2" s="10">
        <v>168.2</v>
      </c>
      <c r="AD2" s="2">
        <f>Y2-Z2</f>
        <v>1.8299999999999841</v>
      </c>
      <c r="AE2" s="137">
        <f>AC2/AC3-1</f>
        <v>5.3194668579283899E-3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169.98</v>
      </c>
      <c r="W3" s="132">
        <v>42796</v>
      </c>
      <c r="X3" s="10">
        <v>168.32</v>
      </c>
      <c r="Y3" s="10">
        <v>168.43</v>
      </c>
      <c r="Z3" s="10">
        <v>166.96</v>
      </c>
      <c r="AA3" s="10">
        <v>167.31</v>
      </c>
      <c r="AB3" s="94">
        <v>1888200</v>
      </c>
      <c r="AC3" s="10">
        <v>167.31</v>
      </c>
      <c r="AD3" s="2">
        <f t="shared" ref="AD3:AD66" si="0">Y3-Z3</f>
        <v>1.4699999999999989</v>
      </c>
      <c r="AE3" s="137">
        <f t="shared" ref="AE3:AE66" si="1">AC3/AC4-1</f>
        <v>-3.7513397642015001E-3</v>
      </c>
      <c r="AI3" t="s">
        <v>167</v>
      </c>
      <c r="AJ3">
        <v>10</v>
      </c>
      <c r="AK3">
        <v>115.3</v>
      </c>
      <c r="AL3" s="233">
        <v>1153</v>
      </c>
      <c r="AO3" s="233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4"/>
      <c r="L4" s="4"/>
      <c r="M4" s="4"/>
      <c r="O4" s="11" t="s">
        <v>66</v>
      </c>
      <c r="Q4" s="55">
        <v>169.98</v>
      </c>
      <c r="R4" s="499">
        <v>1.17E-2</v>
      </c>
      <c r="W4" s="132">
        <v>42795</v>
      </c>
      <c r="X4" s="10">
        <v>166.72</v>
      </c>
      <c r="Y4" s="10">
        <v>168.6</v>
      </c>
      <c r="Z4" s="10">
        <v>166.35</v>
      </c>
      <c r="AA4" s="10">
        <v>167.94</v>
      </c>
      <c r="AB4" s="94">
        <v>3476100</v>
      </c>
      <c r="AC4" s="10">
        <v>167.94</v>
      </c>
      <c r="AD4" s="2">
        <f t="shared" si="0"/>
        <v>2.25</v>
      </c>
      <c r="AE4" s="137">
        <f t="shared" si="1"/>
        <v>1.5479501753537406E-2</v>
      </c>
      <c r="AI4" t="s">
        <v>168</v>
      </c>
      <c r="AJ4">
        <v>-10</v>
      </c>
      <c r="AK4" t="s">
        <v>165</v>
      </c>
      <c r="AL4" t="s">
        <v>165</v>
      </c>
      <c r="AO4" s="233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42794</v>
      </c>
      <c r="X5" s="10">
        <v>165.47</v>
      </c>
      <c r="Y5" s="10">
        <v>166.76</v>
      </c>
      <c r="Z5" s="10">
        <v>164.9</v>
      </c>
      <c r="AA5" s="10">
        <v>165.38</v>
      </c>
      <c r="AB5" s="94">
        <v>4383000</v>
      </c>
      <c r="AC5" s="10">
        <v>165.38</v>
      </c>
      <c r="AD5" s="2">
        <f t="shared" si="0"/>
        <v>1.8599999999999852</v>
      </c>
      <c r="AE5" s="137">
        <f t="shared" si="1"/>
        <v>0</v>
      </c>
      <c r="AI5" t="s">
        <v>166</v>
      </c>
      <c r="AJ5">
        <v>10</v>
      </c>
      <c r="AK5">
        <v>115.45</v>
      </c>
      <c r="AL5" s="233">
        <v>1154.52</v>
      </c>
      <c r="AO5" s="233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42793</v>
      </c>
      <c r="X6" s="10">
        <v>163.16</v>
      </c>
      <c r="Y6" s="10">
        <v>165.46</v>
      </c>
      <c r="Z6" s="10">
        <v>162.81</v>
      </c>
      <c r="AA6" s="10">
        <v>165.38</v>
      </c>
      <c r="AB6" s="94">
        <v>4070800</v>
      </c>
      <c r="AC6" s="10">
        <v>165.38</v>
      </c>
      <c r="AD6" s="2">
        <f t="shared" si="0"/>
        <v>2.6500000000000057</v>
      </c>
      <c r="AE6" s="137">
        <f t="shared" si="1"/>
        <v>1.4227891573653784E-2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42790</v>
      </c>
      <c r="X7" s="10">
        <v>162.66999999999999</v>
      </c>
      <c r="Y7" s="10">
        <v>163.09</v>
      </c>
      <c r="Z7" s="10">
        <v>161.74</v>
      </c>
      <c r="AA7" s="10">
        <v>163.06</v>
      </c>
      <c r="AB7" s="94">
        <v>2701400</v>
      </c>
      <c r="AC7" s="10">
        <v>163.06</v>
      </c>
      <c r="AD7" s="2">
        <f t="shared" si="0"/>
        <v>1.3499999999999943</v>
      </c>
      <c r="AE7" s="137">
        <f t="shared" si="1"/>
        <v>2.8290282902829755E-3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161.33000000000001</v>
      </c>
      <c r="Y8" s="10">
        <v>162.6</v>
      </c>
      <c r="Z8" s="10">
        <v>160.69</v>
      </c>
      <c r="AA8" s="10">
        <v>162.6</v>
      </c>
      <c r="AB8" s="94">
        <v>2459600</v>
      </c>
      <c r="AC8" s="10">
        <v>162.6</v>
      </c>
      <c r="AD8" s="2">
        <f t="shared" si="0"/>
        <v>1.9099999999999966</v>
      </c>
      <c r="AE8" s="137">
        <f t="shared" si="1"/>
        <v>1.2642461231861413E-2</v>
      </c>
    </row>
    <row r="9" spans="1:43" x14ac:dyDescent="0.25">
      <c r="O9" s="11" t="s">
        <v>213</v>
      </c>
      <c r="Q9" s="137">
        <f>IF(Q2=0, 0, Q8/Q6)</f>
        <v>0</v>
      </c>
      <c r="W9" s="132">
        <v>42788</v>
      </c>
      <c r="X9" s="10">
        <v>160.91</v>
      </c>
      <c r="Y9" s="10">
        <v>161.78</v>
      </c>
      <c r="Z9" s="10">
        <v>159.63999999999999</v>
      </c>
      <c r="AA9" s="10">
        <v>160.57</v>
      </c>
      <c r="AB9" s="94">
        <v>2722500</v>
      </c>
      <c r="AC9" s="10">
        <v>160.57</v>
      </c>
      <c r="AD9" s="2">
        <f t="shared" si="0"/>
        <v>2.1400000000000148</v>
      </c>
      <c r="AE9" s="137">
        <f t="shared" si="1"/>
        <v>0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42787</v>
      </c>
      <c r="X10" s="10">
        <v>157.62</v>
      </c>
      <c r="Y10" s="10">
        <v>160.82</v>
      </c>
      <c r="Z10" s="10">
        <v>157.52000000000001</v>
      </c>
      <c r="AA10" s="10">
        <v>160.57</v>
      </c>
      <c r="AB10" s="94">
        <v>5202000</v>
      </c>
      <c r="AC10" s="10">
        <v>160.57</v>
      </c>
      <c r="AD10" s="2">
        <f t="shared" si="0"/>
        <v>3.2999999999999829</v>
      </c>
      <c r="AE10" s="137">
        <f t="shared" si="1"/>
        <v>1.8715898997589075E-2</v>
      </c>
    </row>
    <row r="11" spans="1:43" x14ac:dyDescent="0.25">
      <c r="O11" s="11" t="s">
        <v>178</v>
      </c>
      <c r="P11" s="34"/>
      <c r="Q11" s="137">
        <f>IF(U58="N/A (N/A)", 0, VALUE(TRIM(CLEAN(MID(U58, FIND("(", U58)+1, 5)))))</f>
        <v>1.49E-2</v>
      </c>
      <c r="W11" s="132">
        <v>42783</v>
      </c>
      <c r="X11" s="10">
        <v>159</v>
      </c>
      <c r="Y11" s="10">
        <v>160.16</v>
      </c>
      <c r="Z11" s="10">
        <v>156.49</v>
      </c>
      <c r="AA11" s="10">
        <v>157.62</v>
      </c>
      <c r="AB11" s="94">
        <v>11974700</v>
      </c>
      <c r="AC11" s="10">
        <v>157.62</v>
      </c>
      <c r="AD11" s="2">
        <f t="shared" si="0"/>
        <v>3.6699999999999875</v>
      </c>
      <c r="AE11" s="137">
        <f t="shared" si="1"/>
        <v>-3.684692942254808E-2</v>
      </c>
    </row>
    <row r="12" spans="1:43" x14ac:dyDescent="0.25">
      <c r="W12" s="132">
        <v>42782</v>
      </c>
      <c r="X12" s="10">
        <v>164.78</v>
      </c>
      <c r="Y12" s="10">
        <v>164.97</v>
      </c>
      <c r="Z12" s="10">
        <v>162.33000000000001</v>
      </c>
      <c r="AA12" s="10">
        <v>163.65</v>
      </c>
      <c r="AB12" s="94">
        <v>3181400</v>
      </c>
      <c r="AC12" s="10">
        <v>163.65</v>
      </c>
      <c r="AD12" s="2">
        <f t="shared" si="0"/>
        <v>2.6399999999999864</v>
      </c>
      <c r="AE12" s="137">
        <f t="shared" si="1"/>
        <v>-3.8955505508551092E-3</v>
      </c>
    </row>
    <row r="13" spans="1:43" x14ac:dyDescent="0.25">
      <c r="W13" s="132">
        <v>42781</v>
      </c>
      <c r="X13" s="10">
        <v>162.58000000000001</v>
      </c>
      <c r="Y13" s="10">
        <v>164.89</v>
      </c>
      <c r="Z13" s="10">
        <v>162.58000000000001</v>
      </c>
      <c r="AA13" s="10">
        <v>164.29</v>
      </c>
      <c r="AB13" s="94">
        <v>4504700</v>
      </c>
      <c r="AC13" s="10">
        <v>164.29</v>
      </c>
      <c r="AD13" s="2">
        <f t="shared" si="0"/>
        <v>2.3099999999999739</v>
      </c>
      <c r="AE13" s="137">
        <f t="shared" si="1"/>
        <v>7.1108931527001928E-3</v>
      </c>
    </row>
    <row r="14" spans="1:43" x14ac:dyDescent="0.25">
      <c r="W14" s="132">
        <v>42780</v>
      </c>
      <c r="X14" s="10">
        <v>161.44999999999999</v>
      </c>
      <c r="Y14" s="10">
        <v>163.5</v>
      </c>
      <c r="Z14" s="10">
        <v>161.25</v>
      </c>
      <c r="AA14" s="10">
        <v>163.13</v>
      </c>
      <c r="AB14" s="94">
        <v>2969400</v>
      </c>
      <c r="AC14" s="10">
        <v>163.13</v>
      </c>
      <c r="AD14" s="2">
        <f t="shared" si="0"/>
        <v>2.25</v>
      </c>
      <c r="AE14" s="137">
        <f t="shared" si="1"/>
        <v>7.037471448854804E-3</v>
      </c>
    </row>
    <row r="15" spans="1:43" x14ac:dyDescent="0.25">
      <c r="W15" s="132">
        <v>42779</v>
      </c>
      <c r="X15" s="10">
        <v>160.69</v>
      </c>
      <c r="Y15" s="10">
        <v>162.02000000000001</v>
      </c>
      <c r="Z15" s="10">
        <v>160.69</v>
      </c>
      <c r="AA15" s="10">
        <v>161.99</v>
      </c>
      <c r="AB15" s="94">
        <v>3275800</v>
      </c>
      <c r="AC15" s="10">
        <v>161.99</v>
      </c>
      <c r="AD15" s="2">
        <f t="shared" si="0"/>
        <v>1.3300000000000125</v>
      </c>
      <c r="AE15" s="137">
        <f t="shared" si="1"/>
        <v>7.7138413685848839E-3</v>
      </c>
    </row>
    <row r="16" spans="1:43" x14ac:dyDescent="0.25">
      <c r="W16" s="132">
        <v>42776</v>
      </c>
      <c r="X16" s="10">
        <v>160.12</v>
      </c>
      <c r="Y16" s="10">
        <v>161.59</v>
      </c>
      <c r="Z16" s="10">
        <v>160.1</v>
      </c>
      <c r="AA16" s="10">
        <v>160.75</v>
      </c>
      <c r="AB16" s="94">
        <v>1904200</v>
      </c>
      <c r="AC16" s="10">
        <v>160.75</v>
      </c>
      <c r="AD16" s="2">
        <f t="shared" si="0"/>
        <v>1.4900000000000091</v>
      </c>
      <c r="AE16" s="137">
        <f t="shared" si="1"/>
        <v>1.9321864871604255E-3</v>
      </c>
    </row>
    <row r="17" spans="1:31" x14ac:dyDescent="0.25">
      <c r="W17" s="132">
        <v>42775</v>
      </c>
      <c r="X17" s="10">
        <v>160.31</v>
      </c>
      <c r="Y17" s="10">
        <v>161.30000000000001</v>
      </c>
      <c r="Z17" s="10">
        <v>159.56</v>
      </c>
      <c r="AA17" s="10">
        <v>160.44</v>
      </c>
      <c r="AB17" s="94">
        <v>3052700</v>
      </c>
      <c r="AC17" s="10">
        <v>160.44</v>
      </c>
      <c r="AD17" s="2">
        <f t="shared" si="0"/>
        <v>1.7400000000000091</v>
      </c>
      <c r="AE17" s="137">
        <f t="shared" si="1"/>
        <v>8.1092882540079181E-4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2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42774</v>
      </c>
      <c r="X18" s="10">
        <v>160</v>
      </c>
      <c r="Y18" s="10">
        <v>160.63</v>
      </c>
      <c r="Z18" s="10">
        <v>159.41</v>
      </c>
      <c r="AA18" s="10">
        <v>160.31</v>
      </c>
      <c r="AB18" s="94">
        <v>2335300</v>
      </c>
      <c r="AC18" s="10">
        <v>160.31</v>
      </c>
      <c r="AD18" s="2">
        <f t="shared" si="0"/>
        <v>1.2199999999999989</v>
      </c>
      <c r="AE18" s="137">
        <f t="shared" si="1"/>
        <v>-1.3704603500903634E-3</v>
      </c>
    </row>
    <row r="19" spans="1:31" x14ac:dyDescent="0.25">
      <c r="W19" s="132">
        <v>42773</v>
      </c>
      <c r="X19" s="10">
        <v>161.05000000000001</v>
      </c>
      <c r="Y19" s="10">
        <v>161.68</v>
      </c>
      <c r="Z19" s="10">
        <v>159.54</v>
      </c>
      <c r="AA19" s="10">
        <v>160.53</v>
      </c>
      <c r="AB19" s="94">
        <v>2934800</v>
      </c>
      <c r="AC19" s="10">
        <v>160.53</v>
      </c>
      <c r="AD19" s="2">
        <f t="shared" si="0"/>
        <v>2.1400000000000148</v>
      </c>
      <c r="AE19" s="137">
        <f t="shared" si="1"/>
        <v>1.2460282848425486E-4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42772</v>
      </c>
      <c r="X20" s="10">
        <v>161.51</v>
      </c>
      <c r="Y20" s="10">
        <v>162.53</v>
      </c>
      <c r="Z20" s="10">
        <v>160.22</v>
      </c>
      <c r="AA20" s="10">
        <v>160.51</v>
      </c>
      <c r="AB20" s="94">
        <v>3444800</v>
      </c>
      <c r="AC20" s="10">
        <v>160.51</v>
      </c>
      <c r="AD20" s="2">
        <f t="shared" si="0"/>
        <v>2.3100000000000023</v>
      </c>
      <c r="AE20" s="137">
        <f t="shared" si="1"/>
        <v>-8.4018039167234049E-3</v>
      </c>
    </row>
    <row r="21" spans="1:31" x14ac:dyDescent="0.25">
      <c r="B21" s="192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1">
        <f t="shared" ref="H21:H27" si="3">IF(C21=0, D21, (E21-D21)/D21)</f>
        <v>7.7443812618467348E-2</v>
      </c>
      <c r="W21" s="132">
        <v>42769</v>
      </c>
      <c r="X21" s="10">
        <v>161.13</v>
      </c>
      <c r="Y21" s="10">
        <v>162</v>
      </c>
      <c r="Z21" s="10">
        <v>160.21</v>
      </c>
      <c r="AA21" s="10">
        <v>161.87</v>
      </c>
      <c r="AB21" s="94">
        <v>2762300</v>
      </c>
      <c r="AC21" s="10">
        <v>161.87</v>
      </c>
      <c r="AD21" s="2">
        <f t="shared" si="0"/>
        <v>1.789999999999992</v>
      </c>
      <c r="AE21" s="137">
        <f t="shared" si="1"/>
        <v>6.9047026623538788E-3</v>
      </c>
    </row>
    <row r="22" spans="1:31" x14ac:dyDescent="0.25">
      <c r="B22" s="192">
        <v>42328</v>
      </c>
      <c r="C22" s="10">
        <v>0</v>
      </c>
      <c r="D22" s="201" t="s">
        <v>129</v>
      </c>
      <c r="E22" s="40">
        <v>112.33</v>
      </c>
      <c r="F22" s="40">
        <v>27.05</v>
      </c>
      <c r="G22" s="40">
        <f t="shared" si="2"/>
        <v>0</v>
      </c>
      <c r="H22" s="231" t="str">
        <f t="shared" si="3"/>
        <v>N/A</v>
      </c>
      <c r="W22" s="132">
        <v>42768</v>
      </c>
      <c r="X22" s="10">
        <v>162.52000000000001</v>
      </c>
      <c r="Y22" s="10">
        <v>163.25</v>
      </c>
      <c r="Z22" s="10">
        <v>160.26</v>
      </c>
      <c r="AA22" s="10">
        <v>160.76</v>
      </c>
      <c r="AB22" s="94">
        <v>4661500</v>
      </c>
      <c r="AC22" s="10">
        <v>160.76</v>
      </c>
      <c r="AD22" s="2">
        <f t="shared" si="0"/>
        <v>2.9900000000000091</v>
      </c>
      <c r="AE22" s="137">
        <f t="shared" si="1"/>
        <v>-1.1984512322537166E-2</v>
      </c>
    </row>
    <row r="23" spans="1:31" x14ac:dyDescent="0.25">
      <c r="B23" s="192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1">
        <f t="shared" si="3"/>
        <v>2.4489795918367373E-2</v>
      </c>
      <c r="W23" s="132">
        <v>42767</v>
      </c>
      <c r="X23" s="10">
        <v>162.75</v>
      </c>
      <c r="Y23" s="10">
        <v>163.9</v>
      </c>
      <c r="Z23" s="10">
        <v>162.03</v>
      </c>
      <c r="AA23" s="10">
        <v>162.71</v>
      </c>
      <c r="AB23" s="94">
        <v>3718500</v>
      </c>
      <c r="AC23" s="10">
        <v>162.71</v>
      </c>
      <c r="AD23" s="2">
        <f t="shared" si="0"/>
        <v>1.8700000000000045</v>
      </c>
      <c r="AE23" s="137">
        <f t="shared" si="1"/>
        <v>3.7631091918570725E-3</v>
      </c>
    </row>
    <row r="24" spans="1:31" x14ac:dyDescent="0.25">
      <c r="B24" s="192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1">
        <f t="shared" si="3"/>
        <v>3.8039037675896482E-2</v>
      </c>
      <c r="W24" s="132">
        <v>42766</v>
      </c>
      <c r="X24" s="10">
        <v>161.62</v>
      </c>
      <c r="Y24" s="10">
        <v>162.19</v>
      </c>
      <c r="Z24" s="10">
        <v>160.01</v>
      </c>
      <c r="AA24" s="10">
        <v>162.1</v>
      </c>
      <c r="AB24" s="94">
        <v>2976600</v>
      </c>
      <c r="AC24" s="10">
        <v>162.1</v>
      </c>
      <c r="AD24" s="2">
        <f t="shared" si="0"/>
        <v>2.1800000000000068</v>
      </c>
      <c r="AE24" s="137">
        <f t="shared" si="1"/>
        <v>6.1694120550237486E-5</v>
      </c>
    </row>
    <row r="25" spans="1:31" x14ac:dyDescent="0.25">
      <c r="B25" s="192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1">
        <f t="shared" si="3"/>
        <v>5.2927825692237841E-2</v>
      </c>
      <c r="W25" s="132">
        <v>42765</v>
      </c>
      <c r="X25" s="10">
        <v>162.94</v>
      </c>
      <c r="Y25" s="10">
        <v>163.46</v>
      </c>
      <c r="Z25" s="10">
        <v>161.31</v>
      </c>
      <c r="AA25" s="10">
        <v>162.09</v>
      </c>
      <c r="AB25" s="94">
        <v>2772400</v>
      </c>
      <c r="AC25" s="10">
        <v>162.09</v>
      </c>
      <c r="AD25" s="2">
        <f t="shared" si="0"/>
        <v>2.1500000000000057</v>
      </c>
      <c r="AE25" s="137">
        <f t="shared" si="1"/>
        <v>-5.5218111540585868E-3</v>
      </c>
    </row>
    <row r="26" spans="1:31" x14ac:dyDescent="0.25">
      <c r="B26" s="192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1"/>
      <c r="W26" s="132">
        <v>42762</v>
      </c>
      <c r="X26" s="10">
        <v>163.5</v>
      </c>
      <c r="Y26" s="10">
        <v>163.80000000000001</v>
      </c>
      <c r="Z26" s="10">
        <v>162.62</v>
      </c>
      <c r="AA26" s="10">
        <v>162.99</v>
      </c>
      <c r="AB26" s="94">
        <v>3072500</v>
      </c>
      <c r="AC26" s="10">
        <v>162.99</v>
      </c>
      <c r="AD26" s="2">
        <f t="shared" si="0"/>
        <v>1.1800000000000068</v>
      </c>
      <c r="AE26" s="137">
        <f t="shared" si="1"/>
        <v>1.4746543778803023E-3</v>
      </c>
    </row>
    <row r="27" spans="1:31" x14ac:dyDescent="0.25">
      <c r="B27" s="192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1">
        <f t="shared" si="3"/>
        <v>4.2891700781540747E-2</v>
      </c>
      <c r="W27" s="132">
        <v>42761</v>
      </c>
      <c r="X27" s="10">
        <v>161.86000000000001</v>
      </c>
      <c r="Y27" s="10">
        <v>163.58000000000001</v>
      </c>
      <c r="Z27" s="10">
        <v>161.25</v>
      </c>
      <c r="AA27" s="10">
        <v>162.75</v>
      </c>
      <c r="AB27" s="94">
        <v>4160400</v>
      </c>
      <c r="AC27" s="10">
        <v>162.75</v>
      </c>
      <c r="AD27" s="2">
        <f t="shared" si="0"/>
        <v>2.3300000000000125</v>
      </c>
      <c r="AE27" s="137">
        <f t="shared" si="1"/>
        <v>9.3649218556188796E-3</v>
      </c>
    </row>
    <row r="28" spans="1:31" x14ac:dyDescent="0.25">
      <c r="B28" s="192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1"/>
      <c r="W28" s="132">
        <v>42760</v>
      </c>
      <c r="X28" s="10">
        <v>160.82</v>
      </c>
      <c r="Y28" s="10">
        <v>161.97999999999999</v>
      </c>
      <c r="Z28" s="10">
        <v>160.35</v>
      </c>
      <c r="AA28" s="10">
        <v>161.24</v>
      </c>
      <c r="AB28" s="94">
        <v>3316700</v>
      </c>
      <c r="AC28" s="10">
        <v>161.24</v>
      </c>
      <c r="AD28" s="2">
        <f t="shared" si="0"/>
        <v>1.6299999999999955</v>
      </c>
      <c r="AE28" s="137">
        <f t="shared" si="1"/>
        <v>5.0489309979431241E-3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42759</v>
      </c>
      <c r="X29" s="10">
        <v>159.36000000000001</v>
      </c>
      <c r="Y29" s="10">
        <v>161.31</v>
      </c>
      <c r="Z29" s="10">
        <v>159.1</v>
      </c>
      <c r="AA29" s="10">
        <v>160.43</v>
      </c>
      <c r="AB29" s="94">
        <v>3501200</v>
      </c>
      <c r="AC29" s="10">
        <v>160.43</v>
      </c>
      <c r="AD29" s="2">
        <f t="shared" si="0"/>
        <v>2.210000000000008</v>
      </c>
      <c r="AE29" s="137">
        <f t="shared" si="1"/>
        <v>8.5496951027850265E-3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42758</v>
      </c>
      <c r="X30" s="10">
        <v>158.62</v>
      </c>
      <c r="Y30" s="10">
        <v>159.52000000000001</v>
      </c>
      <c r="Z30" s="10">
        <v>156.56</v>
      </c>
      <c r="AA30" s="10">
        <v>159.07</v>
      </c>
      <c r="AB30" s="94">
        <v>3967900</v>
      </c>
      <c r="AC30" s="10">
        <v>159.07</v>
      </c>
      <c r="AD30" s="2">
        <f t="shared" si="0"/>
        <v>2.960000000000008</v>
      </c>
      <c r="AE30" s="137">
        <f t="shared" si="1"/>
        <v>2.5841421908483486E-3</v>
      </c>
    </row>
    <row r="31" spans="1:31" x14ac:dyDescent="0.25">
      <c r="G31" s="3"/>
      <c r="H31" s="232"/>
      <c r="W31" s="132">
        <v>42755</v>
      </c>
      <c r="X31" s="10">
        <v>159.02000000000001</v>
      </c>
      <c r="Y31" s="10">
        <v>159.80000000000001</v>
      </c>
      <c r="Z31" s="10">
        <v>157.81</v>
      </c>
      <c r="AA31" s="10">
        <v>158.66</v>
      </c>
      <c r="AB31" s="94">
        <v>3503200</v>
      </c>
      <c r="AC31" s="10">
        <v>158.66</v>
      </c>
      <c r="AD31" s="2">
        <f t="shared" si="0"/>
        <v>1.9900000000000091</v>
      </c>
      <c r="AE31" s="137">
        <f t="shared" si="1"/>
        <v>-2.5204788909882758E-4</v>
      </c>
    </row>
    <row r="32" spans="1:31" x14ac:dyDescent="0.25">
      <c r="W32" s="132">
        <v>42754</v>
      </c>
      <c r="X32" s="10">
        <v>157.74</v>
      </c>
      <c r="Y32" s="10">
        <v>160.55000000000001</v>
      </c>
      <c r="Z32" s="10">
        <v>157.24</v>
      </c>
      <c r="AA32" s="10">
        <v>158.69999999999999</v>
      </c>
      <c r="AB32" s="94">
        <v>4846000</v>
      </c>
      <c r="AC32" s="10">
        <v>158.69999999999999</v>
      </c>
      <c r="AD32" s="2">
        <f t="shared" si="0"/>
        <v>3.3100000000000023</v>
      </c>
      <c r="AE32" s="137">
        <f t="shared" si="1"/>
        <v>6.085964244959996E-3</v>
      </c>
    </row>
    <row r="33" spans="1:31" x14ac:dyDescent="0.25">
      <c r="L33" t="s">
        <v>212</v>
      </c>
      <c r="M33" s="2">
        <f>M44+K44-F44</f>
        <v>176.70000000000073</v>
      </c>
      <c r="W33" s="132">
        <v>42753</v>
      </c>
      <c r="X33" s="10">
        <v>161.06</v>
      </c>
      <c r="Y33" s="10">
        <v>161.19999999999999</v>
      </c>
      <c r="Z33" s="10">
        <v>156.09</v>
      </c>
      <c r="AA33" s="10">
        <v>157.74</v>
      </c>
      <c r="AB33" s="94">
        <v>6586200</v>
      </c>
      <c r="AC33" s="10">
        <v>157.74</v>
      </c>
      <c r="AD33" s="2">
        <f t="shared" si="0"/>
        <v>5.1099999999999852</v>
      </c>
      <c r="AE33" s="137">
        <f t="shared" si="1"/>
        <v>-1.8175028009460914E-2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3" t="s">
        <v>5</v>
      </c>
      <c r="E34" s="263" t="s">
        <v>94</v>
      </c>
      <c r="F34" s="263" t="s">
        <v>60</v>
      </c>
      <c r="G34" s="262" t="s">
        <v>3</v>
      </c>
      <c r="H34" s="262" t="s">
        <v>6</v>
      </c>
      <c r="I34" s="262" t="s">
        <v>7</v>
      </c>
      <c r="J34" s="262" t="s">
        <v>95</v>
      </c>
      <c r="K34" s="262" t="s">
        <v>61</v>
      </c>
      <c r="L34" s="262" t="s">
        <v>77</v>
      </c>
      <c r="M34" s="262" t="s">
        <v>38</v>
      </c>
      <c r="W34" s="132">
        <v>42752</v>
      </c>
      <c r="X34" s="10">
        <v>162.61000000000001</v>
      </c>
      <c r="Y34" s="10">
        <v>162.97</v>
      </c>
      <c r="Z34" s="10">
        <v>157.51</v>
      </c>
      <c r="AA34" s="10">
        <v>160.66</v>
      </c>
      <c r="AB34" s="94">
        <v>5380800</v>
      </c>
      <c r="AC34" s="10">
        <v>160.66</v>
      </c>
      <c r="AD34" s="2">
        <f t="shared" si="0"/>
        <v>5.460000000000008</v>
      </c>
      <c r="AE34" s="137">
        <f t="shared" si="1"/>
        <v>-7.0457354758962643E-3</v>
      </c>
    </row>
    <row r="35" spans="1:31" x14ac:dyDescent="0.25">
      <c r="A35" s="264" t="s">
        <v>51</v>
      </c>
      <c r="B35" s="265">
        <v>42212</v>
      </c>
      <c r="C35" s="260">
        <v>10</v>
      </c>
      <c r="D35" s="261">
        <v>120.14</v>
      </c>
      <c r="E35" s="261">
        <v>0</v>
      </c>
      <c r="F35" s="261">
        <f t="shared" ref="F35:F40" si="4">D35*C35</f>
        <v>1201.4000000000001</v>
      </c>
      <c r="G35" s="265">
        <v>42292</v>
      </c>
      <c r="H35" s="266">
        <v>15</v>
      </c>
      <c r="I35" s="261">
        <v>122.5</v>
      </c>
      <c r="J35" s="261">
        <v>0.03</v>
      </c>
      <c r="K35" s="260">
        <f>I35*H35-J35</f>
        <v>1837.47</v>
      </c>
      <c r="L35" s="265">
        <v>42269</v>
      </c>
      <c r="M35" s="261">
        <v>7.5</v>
      </c>
      <c r="W35" s="132">
        <v>42748</v>
      </c>
      <c r="X35" s="10">
        <v>162.16</v>
      </c>
      <c r="Y35" s="10">
        <v>162.74</v>
      </c>
      <c r="Z35" s="10">
        <v>161.41</v>
      </c>
      <c r="AA35" s="10">
        <v>161.80000000000001</v>
      </c>
      <c r="AB35" s="94">
        <v>3178900</v>
      </c>
      <c r="AC35" s="10">
        <v>161.80000000000001</v>
      </c>
      <c r="AD35" s="2">
        <f t="shared" si="0"/>
        <v>1.3300000000000125</v>
      </c>
      <c r="AE35" s="137">
        <f t="shared" si="1"/>
        <v>-3.4491254003449212E-3</v>
      </c>
    </row>
    <row r="36" spans="1:31" x14ac:dyDescent="0.25">
      <c r="A36" s="267" t="s">
        <v>71</v>
      </c>
      <c r="B36" s="265">
        <v>42214</v>
      </c>
      <c r="C36" s="260">
        <v>5</v>
      </c>
      <c r="D36" s="261">
        <v>118.3</v>
      </c>
      <c r="E36" s="261">
        <v>0</v>
      </c>
      <c r="F36" s="261">
        <f t="shared" si="4"/>
        <v>591.5</v>
      </c>
      <c r="G36" s="265">
        <v>42331</v>
      </c>
      <c r="H36" s="266">
        <v>10</v>
      </c>
      <c r="I36" s="261">
        <v>113.5</v>
      </c>
      <c r="J36" s="261">
        <v>0.02</v>
      </c>
      <c r="K36" s="260">
        <f>I36*H36-J36</f>
        <v>1134.98</v>
      </c>
      <c r="L36" s="265">
        <v>42353</v>
      </c>
      <c r="M36" s="261">
        <v>5</v>
      </c>
      <c r="W36" s="132">
        <v>42747</v>
      </c>
      <c r="X36" s="10">
        <v>161.69</v>
      </c>
      <c r="Y36" s="10">
        <v>162.94</v>
      </c>
      <c r="Z36" s="10">
        <v>160.88999999999999</v>
      </c>
      <c r="AA36" s="10">
        <v>162.36000000000001</v>
      </c>
      <c r="AB36" s="94">
        <v>2545000</v>
      </c>
      <c r="AC36" s="10">
        <v>162.36000000000001</v>
      </c>
      <c r="AD36" s="2">
        <f t="shared" si="0"/>
        <v>2.0500000000000114</v>
      </c>
      <c r="AE36" s="137">
        <f t="shared" si="1"/>
        <v>2.9032058805362748E-3</v>
      </c>
    </row>
    <row r="37" spans="1:31" x14ac:dyDescent="0.25">
      <c r="A37" s="260"/>
      <c r="B37" s="265">
        <v>42286</v>
      </c>
      <c r="C37" s="260">
        <v>10</v>
      </c>
      <c r="D37" s="261">
        <v>116</v>
      </c>
      <c r="E37" s="261">
        <v>0</v>
      </c>
      <c r="F37" s="261">
        <f t="shared" si="4"/>
        <v>1160</v>
      </c>
      <c r="G37" s="265">
        <v>42340</v>
      </c>
      <c r="H37" s="266">
        <v>10</v>
      </c>
      <c r="I37" s="261">
        <v>115.4</v>
      </c>
      <c r="J37" s="261">
        <v>0.02</v>
      </c>
      <c r="K37" s="260">
        <f>I37*H37-J37</f>
        <v>1153.98</v>
      </c>
      <c r="L37" s="260"/>
      <c r="M37" s="260"/>
      <c r="W37" s="132">
        <v>42746</v>
      </c>
      <c r="X37" s="10">
        <v>161.30000000000001</v>
      </c>
      <c r="Y37" s="10">
        <v>162.94</v>
      </c>
      <c r="Z37" s="10">
        <v>160.61000000000001</v>
      </c>
      <c r="AA37" s="10">
        <v>161.88999999999999</v>
      </c>
      <c r="AB37" s="94">
        <v>3318400</v>
      </c>
      <c r="AC37" s="10">
        <v>161.88999999999999</v>
      </c>
      <c r="AD37" s="2">
        <f t="shared" si="0"/>
        <v>2.3299999999999841</v>
      </c>
      <c r="AE37" s="137">
        <f t="shared" si="1"/>
        <v>1.9185542765192132E-3</v>
      </c>
    </row>
    <row r="38" spans="1:31" x14ac:dyDescent="0.25">
      <c r="A38" s="260"/>
      <c r="B38" s="265">
        <v>42331</v>
      </c>
      <c r="C38" s="260">
        <v>10</v>
      </c>
      <c r="D38" s="261">
        <v>112.95</v>
      </c>
      <c r="E38" s="261">
        <v>0</v>
      </c>
      <c r="F38" s="261">
        <f t="shared" si="4"/>
        <v>1129.5</v>
      </c>
      <c r="G38" s="265">
        <v>42360</v>
      </c>
      <c r="H38" s="266">
        <v>10</v>
      </c>
      <c r="I38" s="261">
        <v>120.2</v>
      </c>
      <c r="J38" s="261">
        <v>0.02</v>
      </c>
      <c r="K38" s="260">
        <f>I38*H38-J38</f>
        <v>1201.98</v>
      </c>
      <c r="L38" s="260"/>
      <c r="M38" s="260"/>
      <c r="W38" s="132">
        <v>42745</v>
      </c>
      <c r="X38" s="10">
        <v>161.27000000000001</v>
      </c>
      <c r="Y38" s="10">
        <v>162.97999999999999</v>
      </c>
      <c r="Z38" s="10">
        <v>160.5</v>
      </c>
      <c r="AA38" s="10">
        <v>161.58000000000001</v>
      </c>
      <c r="AB38" s="94">
        <v>3482000</v>
      </c>
      <c r="AC38" s="10">
        <v>161.58000000000001</v>
      </c>
      <c r="AD38" s="2">
        <f t="shared" si="0"/>
        <v>2.4799999999999898</v>
      </c>
      <c r="AE38" s="137">
        <f t="shared" si="1"/>
        <v>-2.2846557579497828E-3</v>
      </c>
    </row>
    <row r="39" spans="1:31" x14ac:dyDescent="0.25">
      <c r="A39" s="260"/>
      <c r="B39" s="265">
        <v>42340</v>
      </c>
      <c r="C39" s="260">
        <v>10</v>
      </c>
      <c r="D39" s="261">
        <v>115.3</v>
      </c>
      <c r="E39" s="261">
        <v>0</v>
      </c>
      <c r="F39" s="261">
        <f t="shared" si="4"/>
        <v>1153</v>
      </c>
      <c r="G39" s="265">
        <v>42416</v>
      </c>
      <c r="H39" s="266">
        <v>25</v>
      </c>
      <c r="I39" s="261">
        <v>114.55</v>
      </c>
      <c r="J39" s="261">
        <v>0.06</v>
      </c>
      <c r="K39" s="260">
        <f>I39*H39-J39</f>
        <v>2863.69</v>
      </c>
      <c r="L39" s="260"/>
      <c r="M39" s="260"/>
      <c r="W39" s="132">
        <v>42744</v>
      </c>
      <c r="X39" s="10">
        <v>162</v>
      </c>
      <c r="Y39" s="10">
        <v>162.43</v>
      </c>
      <c r="Z39" s="10">
        <v>160.78</v>
      </c>
      <c r="AA39" s="10">
        <v>161.94999999999999</v>
      </c>
      <c r="AB39" s="94">
        <v>3040800</v>
      </c>
      <c r="AC39" s="10">
        <v>161.94999999999999</v>
      </c>
      <c r="AD39" s="2">
        <f t="shared" si="0"/>
        <v>1.6500000000000057</v>
      </c>
      <c r="AE39" s="137">
        <f t="shared" si="1"/>
        <v>-2.8323379102273005E-3</v>
      </c>
    </row>
    <row r="40" spans="1:31" x14ac:dyDescent="0.25">
      <c r="A40" s="260"/>
      <c r="B40" s="265">
        <v>42376</v>
      </c>
      <c r="C40" s="260">
        <v>25</v>
      </c>
      <c r="D40" s="261">
        <v>111.7</v>
      </c>
      <c r="E40" s="261">
        <v>0</v>
      </c>
      <c r="F40" s="261">
        <f t="shared" si="4"/>
        <v>2792.5</v>
      </c>
      <c r="G40" s="260"/>
      <c r="H40" s="266"/>
      <c r="I40" s="260"/>
      <c r="J40" s="260"/>
      <c r="K40" s="260"/>
      <c r="L40" s="260"/>
      <c r="M40" s="260"/>
      <c r="O40" s="34"/>
      <c r="W40" s="132">
        <v>42741</v>
      </c>
      <c r="X40" s="10">
        <v>161.75</v>
      </c>
      <c r="Y40" s="10">
        <v>162.94</v>
      </c>
      <c r="Z40" s="10">
        <v>161.11000000000001</v>
      </c>
      <c r="AA40" s="10">
        <v>162.41</v>
      </c>
      <c r="AB40" s="94">
        <v>2727900</v>
      </c>
      <c r="AC40" s="10">
        <v>162.41</v>
      </c>
      <c r="AD40" s="2">
        <f t="shared" si="0"/>
        <v>1.8299999999999841</v>
      </c>
      <c r="AE40" s="137">
        <f t="shared" si="1"/>
        <v>1.4181773338266535E-3</v>
      </c>
    </row>
    <row r="41" spans="1:31" ht="20.25" thickBot="1" x14ac:dyDescent="0.35">
      <c r="A41" s="260"/>
      <c r="B41" s="260"/>
      <c r="C41" s="260"/>
      <c r="D41" s="261"/>
      <c r="E41" s="261"/>
      <c r="F41" s="261"/>
      <c r="G41" s="260"/>
      <c r="H41" s="260"/>
      <c r="I41" s="260"/>
      <c r="J41" s="260"/>
      <c r="K41" s="260"/>
      <c r="L41" s="260"/>
      <c r="M41" s="260"/>
      <c r="O41" s="703" t="s">
        <v>78</v>
      </c>
      <c r="P41" s="703"/>
      <c r="Q41" s="34"/>
      <c r="W41" s="132">
        <v>42740</v>
      </c>
      <c r="X41" s="10">
        <v>161.75</v>
      </c>
      <c r="Y41" s="10">
        <v>162.63</v>
      </c>
      <c r="Z41" s="10">
        <v>161.51</v>
      </c>
      <c r="AA41" s="10">
        <v>162.18</v>
      </c>
      <c r="AB41" s="94">
        <v>2675600</v>
      </c>
      <c r="AC41" s="10">
        <v>162.18</v>
      </c>
      <c r="AD41" s="2">
        <f t="shared" si="0"/>
        <v>1.1200000000000045</v>
      </c>
      <c r="AE41" s="137">
        <f t="shared" si="1"/>
        <v>1.6675931072818173E-3</v>
      </c>
    </row>
    <row r="42" spans="1:31" ht="21" thickTop="1" thickBot="1" x14ac:dyDescent="0.35">
      <c r="A42" s="260"/>
      <c r="B42" s="260"/>
      <c r="C42" s="260"/>
      <c r="D42" s="261"/>
      <c r="E42" s="261"/>
      <c r="F42" s="261"/>
      <c r="G42" s="260"/>
      <c r="H42" s="260"/>
      <c r="I42" s="260"/>
      <c r="J42" s="260"/>
      <c r="K42" s="260"/>
      <c r="L42" s="260"/>
      <c r="M42" s="260"/>
      <c r="O42" s="82">
        <v>1.1000000000000001</v>
      </c>
      <c r="P42" s="82">
        <f>O42*$Q$4</f>
        <v>186.97800000000001</v>
      </c>
      <c r="Q42" s="34"/>
      <c r="T42" s="90" t="s">
        <v>113</v>
      </c>
      <c r="W42" s="132">
        <v>42739</v>
      </c>
      <c r="X42" s="10">
        <v>162.35</v>
      </c>
      <c r="Y42" s="10">
        <v>162.58000000000001</v>
      </c>
      <c r="Z42" s="10">
        <v>159.74</v>
      </c>
      <c r="AA42" s="10">
        <v>161.91</v>
      </c>
      <c r="AB42" s="94">
        <v>2669200</v>
      </c>
      <c r="AC42" s="10">
        <v>161.91</v>
      </c>
      <c r="AD42" s="2">
        <f t="shared" si="0"/>
        <v>2.8400000000000034</v>
      </c>
      <c r="AE42" s="137">
        <f t="shared" si="1"/>
        <v>2.849179312480743E-3</v>
      </c>
    </row>
    <row r="43" spans="1:31" ht="15.75" thickTop="1" x14ac:dyDescent="0.25">
      <c r="A43" s="260"/>
      <c r="B43" s="260"/>
      <c r="C43" s="260"/>
      <c r="D43" s="261"/>
      <c r="E43" s="261"/>
      <c r="F43" s="261"/>
      <c r="G43" s="260"/>
      <c r="H43" s="260"/>
      <c r="I43" s="260"/>
      <c r="J43" s="260"/>
      <c r="K43" s="260"/>
      <c r="L43" s="260"/>
      <c r="M43" s="260"/>
      <c r="O43" s="82">
        <v>1.0900000000000001</v>
      </c>
      <c r="P43" s="82">
        <f t="shared" ref="P43:P62" si="5">O43*$Q$4</f>
        <v>185.2782</v>
      </c>
      <c r="Q43" s="34"/>
      <c r="T43" s="127" t="s">
        <v>98</v>
      </c>
      <c r="U43" s="97">
        <v>167.31</v>
      </c>
      <c r="W43" s="132">
        <v>42738</v>
      </c>
      <c r="X43" s="10">
        <v>161.13</v>
      </c>
      <c r="Y43" s="10">
        <v>162.27000000000001</v>
      </c>
      <c r="Z43" s="10">
        <v>159.15</v>
      </c>
      <c r="AA43" s="10">
        <v>161.44999999999999</v>
      </c>
      <c r="AB43" s="94">
        <v>3539700</v>
      </c>
      <c r="AC43" s="10">
        <v>161.44999999999999</v>
      </c>
      <c r="AD43" s="2">
        <f t="shared" si="0"/>
        <v>3.1200000000000045</v>
      </c>
      <c r="AE43" s="137">
        <f t="shared" si="1"/>
        <v>8.8102974256436539E-3</v>
      </c>
    </row>
    <row r="44" spans="1:31" x14ac:dyDescent="0.25">
      <c r="A44" s="416" t="s">
        <v>81</v>
      </c>
      <c r="B44" s="417"/>
      <c r="C44" s="417">
        <f>SUM(C35:C40)</f>
        <v>70</v>
      </c>
      <c r="D44" s="418"/>
      <c r="E44" s="418"/>
      <c r="F44" s="418">
        <f>SUM(F35:F40)</f>
        <v>8027.9</v>
      </c>
      <c r="G44" s="418"/>
      <c r="H44" s="419">
        <f>SUM(H35:H39)</f>
        <v>70</v>
      </c>
      <c r="I44" s="418"/>
      <c r="J44" s="418"/>
      <c r="K44" s="418">
        <f>SUM(K35:K39)</f>
        <v>8192.1</v>
      </c>
      <c r="L44" s="418"/>
      <c r="M44" s="418">
        <f>SUM(M35:M38)</f>
        <v>12.5</v>
      </c>
      <c r="O44" s="82">
        <v>1.08</v>
      </c>
      <c r="P44" s="82">
        <f t="shared" si="5"/>
        <v>183.57839999999999</v>
      </c>
      <c r="Q44" s="34"/>
      <c r="T44" s="92" t="s">
        <v>99</v>
      </c>
      <c r="U44" s="87">
        <v>167.37</v>
      </c>
      <c r="W44" s="132">
        <v>42734</v>
      </c>
      <c r="X44" s="10">
        <v>161.37</v>
      </c>
      <c r="Y44" s="10">
        <v>161.47999999999999</v>
      </c>
      <c r="Z44" s="10">
        <v>159.85</v>
      </c>
      <c r="AA44" s="10">
        <v>160.04</v>
      </c>
      <c r="AB44" s="94">
        <v>2845500</v>
      </c>
      <c r="AC44" s="10">
        <v>160.04</v>
      </c>
      <c r="AD44" s="2">
        <f t="shared" si="0"/>
        <v>1.6299999999999955</v>
      </c>
      <c r="AE44" s="137">
        <f t="shared" si="1"/>
        <v>-6.2096373571783881E-3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0"/>
      <c r="J45" s="260"/>
      <c r="K45" s="260"/>
      <c r="L45" s="260"/>
      <c r="M45" s="260"/>
      <c r="O45" s="82">
        <v>1.07</v>
      </c>
      <c r="P45" s="82">
        <f t="shared" si="5"/>
        <v>181.87860000000001</v>
      </c>
      <c r="Q45" s="82"/>
      <c r="T45" s="92" t="s">
        <v>100</v>
      </c>
      <c r="U45" s="87" t="s">
        <v>129</v>
      </c>
      <c r="W45" s="132">
        <v>42733</v>
      </c>
      <c r="X45" s="10">
        <v>161.91999999999999</v>
      </c>
      <c r="Y45" s="10">
        <v>162.36000000000001</v>
      </c>
      <c r="Z45" s="10">
        <v>160.38999999999999</v>
      </c>
      <c r="AA45" s="10">
        <v>161.04</v>
      </c>
      <c r="AB45" s="94">
        <v>2472100</v>
      </c>
      <c r="AC45" s="10">
        <v>161.04</v>
      </c>
      <c r="AD45" s="2">
        <f t="shared" si="0"/>
        <v>1.9700000000000273</v>
      </c>
      <c r="AE45" s="137">
        <f t="shared" si="1"/>
        <v>-2.4777006937561907E-3</v>
      </c>
    </row>
    <row r="46" spans="1:31" x14ac:dyDescent="0.25">
      <c r="O46" s="82">
        <v>1.06</v>
      </c>
      <c r="P46" s="82">
        <f t="shared" si="5"/>
        <v>180.1788</v>
      </c>
      <c r="Q46" s="82"/>
      <c r="T46" s="92" t="s">
        <v>101</v>
      </c>
      <c r="U46" s="87" t="s">
        <v>129</v>
      </c>
      <c r="W46" s="132">
        <v>42732</v>
      </c>
      <c r="X46" s="10">
        <v>162.16</v>
      </c>
      <c r="Y46" s="10">
        <v>163.25</v>
      </c>
      <c r="Z46" s="10">
        <v>161.32</v>
      </c>
      <c r="AA46" s="10">
        <v>161.44</v>
      </c>
      <c r="AB46" s="94">
        <v>1622500</v>
      </c>
      <c r="AC46" s="10">
        <v>161.44</v>
      </c>
      <c r="AD46" s="2">
        <f t="shared" si="0"/>
        <v>1.9300000000000068</v>
      </c>
      <c r="AE46" s="137">
        <f t="shared" si="1"/>
        <v>-7.3782587309394465E-3</v>
      </c>
    </row>
    <row r="47" spans="1:31" x14ac:dyDescent="0.25">
      <c r="O47" s="82">
        <v>1.05</v>
      </c>
      <c r="P47" s="82">
        <f t="shared" si="5"/>
        <v>178.47899999999998</v>
      </c>
      <c r="Q47" s="82"/>
      <c r="T47" s="92" t="s">
        <v>102</v>
      </c>
      <c r="U47" s="87">
        <v>185.6</v>
      </c>
      <c r="W47" s="132">
        <v>42731</v>
      </c>
      <c r="X47" s="10">
        <v>163.26</v>
      </c>
      <c r="Y47" s="10">
        <v>163.96</v>
      </c>
      <c r="Z47" s="10">
        <v>162.44999999999999</v>
      </c>
      <c r="AA47" s="10">
        <v>162.63999999999999</v>
      </c>
      <c r="AB47" s="94">
        <v>1327900</v>
      </c>
      <c r="AC47" s="10">
        <v>162.63999999999999</v>
      </c>
      <c r="AD47" s="2">
        <f t="shared" si="0"/>
        <v>1.5100000000000193</v>
      </c>
      <c r="AE47" s="137">
        <f t="shared" si="1"/>
        <v>-2.3921977550145357E-3</v>
      </c>
    </row>
    <row r="48" spans="1:31" x14ac:dyDescent="0.25">
      <c r="O48" s="82">
        <v>1.04</v>
      </c>
      <c r="P48" s="82">
        <f t="shared" si="5"/>
        <v>176.7792</v>
      </c>
      <c r="Q48" s="82"/>
      <c r="T48" s="92" t="s">
        <v>103</v>
      </c>
      <c r="U48" s="87">
        <v>0.60317799999999999</v>
      </c>
      <c r="W48" s="132">
        <v>42727</v>
      </c>
      <c r="X48" s="10">
        <v>161.56</v>
      </c>
      <c r="Y48" s="10">
        <v>163.04</v>
      </c>
      <c r="Z48" s="10">
        <v>160.55000000000001</v>
      </c>
      <c r="AA48" s="10">
        <v>163.03</v>
      </c>
      <c r="AB48" s="94">
        <v>2044400</v>
      </c>
      <c r="AC48" s="10">
        <v>163.03</v>
      </c>
      <c r="AD48" s="2">
        <f t="shared" si="0"/>
        <v>2.4899999999999807</v>
      </c>
      <c r="AE48" s="137">
        <f t="shared" si="1"/>
        <v>8.9738829063001901E-3</v>
      </c>
    </row>
    <row r="49" spans="15:31" x14ac:dyDescent="0.25">
      <c r="O49" s="82">
        <v>1.03</v>
      </c>
      <c r="P49" s="82">
        <f t="shared" si="5"/>
        <v>175.07939999999999</v>
      </c>
      <c r="Q49" s="82"/>
      <c r="T49" s="92" t="s">
        <v>122</v>
      </c>
      <c r="U49" s="87" t="s">
        <v>401</v>
      </c>
      <c r="W49" s="132">
        <v>42726</v>
      </c>
      <c r="X49" s="10">
        <v>161.38999999999999</v>
      </c>
      <c r="Y49" s="10">
        <v>161.88</v>
      </c>
      <c r="Z49" s="10">
        <v>160.27000000000001</v>
      </c>
      <c r="AA49" s="10">
        <v>161.58000000000001</v>
      </c>
      <c r="AB49" s="94">
        <v>2741700</v>
      </c>
      <c r="AC49" s="10">
        <v>161.58000000000001</v>
      </c>
      <c r="AD49" s="2">
        <f t="shared" si="0"/>
        <v>1.6099999999999852</v>
      </c>
      <c r="AE49" s="137">
        <f t="shared" si="1"/>
        <v>1.5496187937766859E-3</v>
      </c>
    </row>
    <row r="50" spans="15:31" x14ac:dyDescent="0.25">
      <c r="O50" s="82">
        <v>1.02</v>
      </c>
      <c r="P50" s="82">
        <f t="shared" si="5"/>
        <v>173.37959999999998</v>
      </c>
      <c r="Q50" s="82"/>
      <c r="T50" s="92"/>
      <c r="U50" s="87"/>
      <c r="W50" s="132">
        <v>42725</v>
      </c>
      <c r="X50" s="10">
        <v>161.41999999999999</v>
      </c>
      <c r="Y50" s="10">
        <v>162.29</v>
      </c>
      <c r="Z50" s="10">
        <v>159.62</v>
      </c>
      <c r="AA50" s="10">
        <v>161.33000000000001</v>
      </c>
      <c r="AB50" s="94">
        <v>2767700</v>
      </c>
      <c r="AC50" s="10">
        <v>161.33000000000001</v>
      </c>
      <c r="AD50" s="2">
        <f t="shared" si="0"/>
        <v>2.6699999999999875</v>
      </c>
      <c r="AE50" s="137">
        <f t="shared" si="1"/>
        <v>-1.6090104585678722E-3</v>
      </c>
    </row>
    <row r="51" spans="15:31" x14ac:dyDescent="0.25">
      <c r="O51" s="82">
        <v>1.01</v>
      </c>
      <c r="P51" s="82">
        <f t="shared" si="5"/>
        <v>171.6798</v>
      </c>
      <c r="Q51" s="82"/>
      <c r="T51" s="92" t="s">
        <v>105</v>
      </c>
      <c r="U51" s="87" t="s">
        <v>741</v>
      </c>
      <c r="W51" s="132">
        <v>42724</v>
      </c>
      <c r="X51" s="10">
        <v>161.71</v>
      </c>
      <c r="Y51" s="10">
        <v>163.11000000000001</v>
      </c>
      <c r="Z51" s="10">
        <v>161.41</v>
      </c>
      <c r="AA51" s="10">
        <v>161.59</v>
      </c>
      <c r="AB51" s="94">
        <v>3127800</v>
      </c>
      <c r="AC51" s="10">
        <v>161.59</v>
      </c>
      <c r="AD51" s="2">
        <f t="shared" si="0"/>
        <v>1.7000000000000171</v>
      </c>
      <c r="AE51" s="137">
        <f t="shared" si="1"/>
        <v>3.0952086170610293E-4</v>
      </c>
    </row>
    <row r="52" spans="15:31" x14ac:dyDescent="0.25">
      <c r="O52" s="82">
        <v>1</v>
      </c>
      <c r="P52" s="82">
        <f t="shared" si="5"/>
        <v>169.98</v>
      </c>
      <c r="Q52" s="82"/>
      <c r="T52" s="92" t="s">
        <v>106</v>
      </c>
      <c r="U52" s="87" t="s">
        <v>742</v>
      </c>
      <c r="W52" s="132">
        <v>42723</v>
      </c>
      <c r="X52" s="10">
        <v>163.09</v>
      </c>
      <c r="Y52" s="10">
        <v>163.94</v>
      </c>
      <c r="Z52" s="10">
        <v>161.22</v>
      </c>
      <c r="AA52" s="10">
        <v>161.54</v>
      </c>
      <c r="AB52" s="94">
        <v>4720900</v>
      </c>
      <c r="AC52" s="10">
        <v>161.54</v>
      </c>
      <c r="AD52" s="2">
        <f t="shared" si="0"/>
        <v>2.7199999999999989</v>
      </c>
      <c r="AE52" s="137">
        <f t="shared" si="1"/>
        <v>-1.4639502256923342E-2</v>
      </c>
    </row>
    <row r="53" spans="15:31" x14ac:dyDescent="0.25">
      <c r="O53" s="82">
        <v>0.99</v>
      </c>
      <c r="P53" s="82">
        <f t="shared" si="5"/>
        <v>168.28019999999998</v>
      </c>
      <c r="Q53" s="82"/>
      <c r="T53" s="92" t="s">
        <v>107</v>
      </c>
      <c r="U53" s="89">
        <v>2254393</v>
      </c>
      <c r="W53" s="132">
        <v>42720</v>
      </c>
      <c r="X53" s="10">
        <v>161.38</v>
      </c>
      <c r="Y53" s="10">
        <v>164</v>
      </c>
      <c r="Z53" s="10">
        <v>161.19</v>
      </c>
      <c r="AA53" s="10">
        <v>163.94</v>
      </c>
      <c r="AB53" s="94">
        <v>6957500</v>
      </c>
      <c r="AC53" s="10">
        <v>163.94</v>
      </c>
      <c r="AD53" s="2">
        <f t="shared" si="0"/>
        <v>2.8100000000000023</v>
      </c>
      <c r="AE53" s="137">
        <f t="shared" si="1"/>
        <v>2.0669904121529026E-2</v>
      </c>
    </row>
    <row r="54" spans="15:31" x14ac:dyDescent="0.25">
      <c r="O54" s="82">
        <v>0.98</v>
      </c>
      <c r="P54" s="82">
        <f t="shared" si="5"/>
        <v>166.5804</v>
      </c>
      <c r="Q54" s="82"/>
      <c r="T54" s="92" t="s">
        <v>110</v>
      </c>
      <c r="U54" s="89">
        <v>3626930</v>
      </c>
      <c r="W54" s="132">
        <v>42719</v>
      </c>
      <c r="X54" s="10">
        <v>159.87</v>
      </c>
      <c r="Y54" s="10">
        <v>161.29</v>
      </c>
      <c r="Z54" s="10">
        <v>159.43</v>
      </c>
      <c r="AA54" s="10">
        <v>160.62</v>
      </c>
      <c r="AB54" s="94">
        <v>4422700</v>
      </c>
      <c r="AC54" s="10">
        <v>160.62</v>
      </c>
      <c r="AD54" s="2">
        <f t="shared" si="0"/>
        <v>1.8599999999999852</v>
      </c>
      <c r="AE54" s="137">
        <f t="shared" si="1"/>
        <v>4.7541598899036863E-3</v>
      </c>
    </row>
    <row r="55" spans="15:31" x14ac:dyDescent="0.25">
      <c r="O55" s="82">
        <v>0.97</v>
      </c>
      <c r="P55" s="82">
        <f t="shared" si="5"/>
        <v>164.88059999999999</v>
      </c>
      <c r="Q55" s="82"/>
      <c r="T55" s="92" t="s">
        <v>108</v>
      </c>
      <c r="U55" s="87" t="s">
        <v>743</v>
      </c>
      <c r="W55" s="132">
        <v>42718</v>
      </c>
      <c r="X55" s="10">
        <v>161.13999999999999</v>
      </c>
      <c r="Y55" s="10">
        <v>161.80000000000001</v>
      </c>
      <c r="Z55" s="10">
        <v>158.72</v>
      </c>
      <c r="AA55" s="10">
        <v>159.86000000000001</v>
      </c>
      <c r="AB55" s="94">
        <v>3793700</v>
      </c>
      <c r="AC55" s="10">
        <v>159.86000000000001</v>
      </c>
      <c r="AD55" s="2">
        <f t="shared" si="0"/>
        <v>3.0800000000000125</v>
      </c>
      <c r="AE55" s="137">
        <f t="shared" si="1"/>
        <v>-4.2357044973213576E-3</v>
      </c>
    </row>
    <row r="56" spans="15:31" x14ac:dyDescent="0.25">
      <c r="O56" s="82">
        <v>0.96</v>
      </c>
      <c r="P56" s="82">
        <f t="shared" si="5"/>
        <v>163.18079999999998</v>
      </c>
      <c r="Q56" s="82"/>
      <c r="T56" s="92" t="s">
        <v>111</v>
      </c>
      <c r="U56" s="87">
        <v>23.2</v>
      </c>
      <c r="W56" s="132">
        <v>42717</v>
      </c>
      <c r="X56" s="10">
        <v>160.4</v>
      </c>
      <c r="Y56" s="10">
        <v>161.71</v>
      </c>
      <c r="Z56" s="10">
        <v>160.07</v>
      </c>
      <c r="AA56" s="10">
        <v>160.54</v>
      </c>
      <c r="AB56" s="94">
        <v>3785600</v>
      </c>
      <c r="AC56" s="10">
        <v>160.54</v>
      </c>
      <c r="AD56" s="2">
        <f t="shared" si="0"/>
        <v>1.6400000000000148</v>
      </c>
      <c r="AE56" s="137">
        <f t="shared" si="1"/>
        <v>6.5834848579846561E-3</v>
      </c>
    </row>
    <row r="57" spans="15:31" x14ac:dyDescent="0.25">
      <c r="O57" s="82">
        <v>0.95</v>
      </c>
      <c r="P57" s="82">
        <f t="shared" si="5"/>
        <v>161.48099999999999</v>
      </c>
      <c r="Q57" s="82"/>
      <c r="T57" s="92" t="s">
        <v>112</v>
      </c>
      <c r="U57" s="87">
        <v>7.25</v>
      </c>
      <c r="W57" s="132">
        <v>42716</v>
      </c>
      <c r="X57" s="10">
        <v>158.83000000000001</v>
      </c>
      <c r="Y57" s="10">
        <v>159.66</v>
      </c>
      <c r="Z57" s="10">
        <v>157.75</v>
      </c>
      <c r="AA57" s="10">
        <v>159.49</v>
      </c>
      <c r="AB57" s="94">
        <v>3471200</v>
      </c>
      <c r="AC57" s="10">
        <v>159.49</v>
      </c>
      <c r="AD57" s="2">
        <f t="shared" si="0"/>
        <v>1.9099999999999966</v>
      </c>
      <c r="AE57" s="137">
        <f t="shared" si="1"/>
        <v>-3.934549088183803E-3</v>
      </c>
    </row>
    <row r="58" spans="15:31" x14ac:dyDescent="0.25">
      <c r="O58" s="82">
        <v>0.94</v>
      </c>
      <c r="P58" s="82">
        <f t="shared" si="5"/>
        <v>159.78119999999998</v>
      </c>
      <c r="Q58" s="82"/>
      <c r="T58" s="92" t="s">
        <v>109</v>
      </c>
      <c r="U58" s="87" t="s">
        <v>744</v>
      </c>
      <c r="W58" s="132">
        <v>42713</v>
      </c>
      <c r="X58" s="10">
        <v>159.52000000000001</v>
      </c>
      <c r="Y58" s="10">
        <v>160.16</v>
      </c>
      <c r="Z58" s="10">
        <v>157.71</v>
      </c>
      <c r="AA58" s="10">
        <v>160.12</v>
      </c>
      <c r="AB58" s="94">
        <v>4004000</v>
      </c>
      <c r="AC58" s="10">
        <v>160.12</v>
      </c>
      <c r="AD58" s="2">
        <f t="shared" si="0"/>
        <v>2.4499999999999886</v>
      </c>
      <c r="AE58" s="137">
        <f t="shared" si="1"/>
        <v>5.0213406979664477E-3</v>
      </c>
    </row>
    <row r="59" spans="15:31" x14ac:dyDescent="0.25">
      <c r="O59" s="82">
        <v>0.93</v>
      </c>
      <c r="P59" s="82">
        <f t="shared" si="5"/>
        <v>158.0814</v>
      </c>
      <c r="Q59" s="82"/>
      <c r="W59" s="132">
        <v>42712</v>
      </c>
      <c r="X59" s="10">
        <v>159.41</v>
      </c>
      <c r="Y59" s="10">
        <v>160.24</v>
      </c>
      <c r="Z59" s="10">
        <v>158</v>
      </c>
      <c r="AA59" s="10">
        <v>159.32</v>
      </c>
      <c r="AB59" s="94">
        <v>3405800</v>
      </c>
      <c r="AC59" s="10">
        <v>159.32</v>
      </c>
      <c r="AD59" s="2">
        <f t="shared" si="0"/>
        <v>2.2400000000000091</v>
      </c>
      <c r="AE59" s="137">
        <f t="shared" si="1"/>
        <v>-5.0188205771650729E-4</v>
      </c>
    </row>
    <row r="60" spans="15:31" x14ac:dyDescent="0.25">
      <c r="O60" s="82">
        <v>0.92</v>
      </c>
      <c r="P60" s="82">
        <f t="shared" si="5"/>
        <v>156.38159999999999</v>
      </c>
      <c r="Q60" s="82"/>
      <c r="W60" s="132">
        <v>42711</v>
      </c>
      <c r="X60" s="10">
        <v>157.88999999999999</v>
      </c>
      <c r="Y60" s="10">
        <v>159.97999999999999</v>
      </c>
      <c r="Z60" s="10">
        <v>156.35</v>
      </c>
      <c r="AA60" s="10">
        <v>159.4</v>
      </c>
      <c r="AB60" s="94">
        <v>4494600</v>
      </c>
      <c r="AC60" s="10">
        <v>159.4</v>
      </c>
      <c r="AD60" s="2">
        <f t="shared" si="0"/>
        <v>3.6299999999999955</v>
      </c>
      <c r="AE60" s="137">
        <f t="shared" si="1"/>
        <v>1.3221459445715844E-2</v>
      </c>
    </row>
    <row r="61" spans="15:31" x14ac:dyDescent="0.25">
      <c r="O61" s="82">
        <v>0.91</v>
      </c>
      <c r="P61" s="82">
        <f t="shared" si="5"/>
        <v>154.68180000000001</v>
      </c>
      <c r="Q61" s="82"/>
      <c r="W61" s="132">
        <v>42710</v>
      </c>
      <c r="X61" s="10">
        <v>158.16999999999999</v>
      </c>
      <c r="Y61" s="10">
        <v>158.22999999999999</v>
      </c>
      <c r="Z61" s="10">
        <v>156.26</v>
      </c>
      <c r="AA61" s="10">
        <v>157.32</v>
      </c>
      <c r="AB61" s="94">
        <v>3179200</v>
      </c>
      <c r="AC61" s="10">
        <v>157.32</v>
      </c>
      <c r="AD61" s="2">
        <f t="shared" si="0"/>
        <v>1.9699999999999989</v>
      </c>
      <c r="AE61" s="137">
        <f t="shared" si="1"/>
        <v>-1.9666307175030262E-3</v>
      </c>
    </row>
    <row r="62" spans="15:31" x14ac:dyDescent="0.25">
      <c r="O62" s="82">
        <v>0.9</v>
      </c>
      <c r="P62" s="82">
        <f t="shared" si="5"/>
        <v>152.982</v>
      </c>
      <c r="Q62" s="82"/>
      <c r="W62" s="132">
        <v>42709</v>
      </c>
      <c r="X62" s="10">
        <v>160.19</v>
      </c>
      <c r="Y62" s="10">
        <v>160.66999999999999</v>
      </c>
      <c r="Z62" s="10">
        <v>156.22999999999999</v>
      </c>
      <c r="AA62" s="10">
        <v>157.63</v>
      </c>
      <c r="AB62" s="94">
        <v>5818600</v>
      </c>
      <c r="AC62" s="10">
        <v>157.63</v>
      </c>
      <c r="AD62" s="2">
        <f t="shared" si="0"/>
        <v>4.4399999999999977</v>
      </c>
      <c r="AE62" s="137">
        <f t="shared" si="1"/>
        <v>-1.9287003048590767E-2</v>
      </c>
    </row>
    <row r="63" spans="15:31" x14ac:dyDescent="0.25">
      <c r="O63" s="34"/>
      <c r="W63" s="132">
        <v>42706</v>
      </c>
      <c r="X63" s="10">
        <v>161</v>
      </c>
      <c r="Y63" s="10">
        <v>162.52000000000001</v>
      </c>
      <c r="Z63" s="10">
        <v>160.56</v>
      </c>
      <c r="AA63" s="10">
        <v>160.72999999999999</v>
      </c>
      <c r="AB63" s="94">
        <v>3476000</v>
      </c>
      <c r="AC63" s="10">
        <v>160.72999999999999</v>
      </c>
      <c r="AD63" s="2">
        <f t="shared" si="0"/>
        <v>1.960000000000008</v>
      </c>
      <c r="AE63" s="137">
        <f t="shared" si="1"/>
        <v>-1.3048340996645313E-3</v>
      </c>
    </row>
    <row r="64" spans="15:31" x14ac:dyDescent="0.25">
      <c r="O64" s="34"/>
      <c r="W64" s="132">
        <v>42705</v>
      </c>
      <c r="X64" s="10">
        <v>159.12</v>
      </c>
      <c r="Y64" s="10">
        <v>161.72</v>
      </c>
      <c r="Z64" s="10">
        <v>159.12</v>
      </c>
      <c r="AA64" s="10">
        <v>160.94</v>
      </c>
      <c r="AB64" s="94">
        <v>5198500</v>
      </c>
      <c r="AC64" s="10">
        <v>160.94</v>
      </c>
      <c r="AD64" s="2">
        <f t="shared" si="0"/>
        <v>2.5999999999999943</v>
      </c>
      <c r="AE64" s="137">
        <f t="shared" si="1"/>
        <v>1.6548762001010742E-2</v>
      </c>
    </row>
    <row r="65" spans="23:31" x14ac:dyDescent="0.25">
      <c r="W65" s="132">
        <v>42704</v>
      </c>
      <c r="X65" s="10">
        <v>157.47</v>
      </c>
      <c r="Y65" s="10">
        <v>159.76</v>
      </c>
      <c r="Z65" s="10">
        <v>157.07</v>
      </c>
      <c r="AA65" s="10">
        <v>158.32</v>
      </c>
      <c r="AB65" s="94">
        <v>6939500</v>
      </c>
      <c r="AC65" s="10">
        <v>158.32</v>
      </c>
      <c r="AD65" s="2">
        <f t="shared" si="0"/>
        <v>2.6899999999999977</v>
      </c>
      <c r="AE65" s="137" t="e">
        <f t="shared" si="1"/>
        <v>#DIV/0!</v>
      </c>
    </row>
    <row r="66" spans="23:31" x14ac:dyDescent="0.25">
      <c r="W66" s="132">
        <v>42704</v>
      </c>
      <c r="X66" s="10" t="s">
        <v>740</v>
      </c>
      <c r="Y66" s="10"/>
      <c r="Z66" s="10"/>
      <c r="AA66" s="10"/>
      <c r="AB66" s="94"/>
      <c r="AC66" s="10"/>
      <c r="AD66" s="2">
        <f t="shared" si="0"/>
        <v>0</v>
      </c>
      <c r="AE66" s="137">
        <f t="shared" si="1"/>
        <v>-1</v>
      </c>
    </row>
    <row r="67" spans="23:31" x14ac:dyDescent="0.25">
      <c r="W67" s="132">
        <v>42703</v>
      </c>
      <c r="X67" s="10">
        <v>156.94</v>
      </c>
      <c r="Y67" s="10">
        <v>158.12</v>
      </c>
      <c r="Z67" s="10">
        <v>155.18</v>
      </c>
      <c r="AA67" s="10">
        <v>157.59</v>
      </c>
      <c r="AB67" s="94">
        <v>5827400</v>
      </c>
      <c r="AC67" s="10">
        <v>156.96</v>
      </c>
      <c r="AD67" s="2">
        <f>Y67-Z67</f>
        <v>2.9399999999999977</v>
      </c>
      <c r="AE67" s="137" t="e">
        <f>AC67/#REF!-1</f>
        <v>#REF!</v>
      </c>
    </row>
    <row r="68" spans="23:31" x14ac:dyDescent="0.25">
      <c r="W68" s="132">
        <v>42702</v>
      </c>
      <c r="X68" s="10">
        <v>152.74</v>
      </c>
      <c r="Y68" s="10">
        <v>152.85</v>
      </c>
      <c r="Z68" s="10">
        <v>150</v>
      </c>
      <c r="AA68" s="10">
        <v>152.11000000000001</v>
      </c>
      <c r="AB68" s="94">
        <v>5029600</v>
      </c>
      <c r="AC68" s="10">
        <v>151.51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120</vt:i4>
      </vt:variant>
    </vt:vector>
  </HeadingPairs>
  <TitlesOfParts>
    <vt:vector size="180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MJN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MJN!hp?s_vgk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MJN!q?s_vgk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2017-03-11T01:09:09Z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